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50" windowHeight="7070"/>
  </bookViews>
  <sheets>
    <sheet name="Rev 1.1" sheetId="1" r:id="rId1"/>
  </sheets>
  <definedNames>
    <definedName name="ACT_FIELD_RATE">'Rev 1.1'!$Q$43</definedName>
    <definedName name="ACT_FRAME_RATE">'Rev 1.1'!$Q$44</definedName>
    <definedName name="ACT_H_FREQ">'Rev 1.1'!$Q$41</definedName>
    <definedName name="ACT_PIXEL_FREQ">'Rev 1.1'!$Q$46</definedName>
    <definedName name="ACT_VBI_LINES">'Rev 1.1'!$Y$21</definedName>
    <definedName name="ASPECT_RATIO">'Rev 1.1'!$F$36</definedName>
    <definedName name="BOT_MARGIN">'Rev 1.1'!$Q$30</definedName>
    <definedName name="C_PRIME">'Rev 1.1'!$K$116</definedName>
    <definedName name="CELL_GRAN_RND">'Rev 1.1'!$Q$8</definedName>
    <definedName name="CLOCK_STEP">'Rev 1.1'!$K$128</definedName>
    <definedName name="GTF_C_VAR">'Rev 1.1'!$K$111</definedName>
    <definedName name="GTF_J_VAR">'Rev 1.1'!$K$113</definedName>
    <definedName name="GTF_K_VAR">'Rev 1.1'!$K$112</definedName>
    <definedName name="GTF_M_VAR">'Rev 1.1'!$K$110</definedName>
    <definedName name="H_BACK_PORCH">'Rev 1.1'!$Q$57</definedName>
    <definedName name="H_BLANK">'Rev 1.1'!$Q$51</definedName>
    <definedName name="H_FRONT_PORCH">'Rev 1.1'!$Q$53</definedName>
    <definedName name="H_PERIOD_EST">'Rev 1.1'!$Q$38</definedName>
    <definedName name="H_PIXELS">'Rev 1.1'!$K$8</definedName>
    <definedName name="H_PIXELS_RND">'Rev 1.1'!$Q$16</definedName>
    <definedName name="H_SYNC_PER">'Rev 1.1'!$U$9</definedName>
    <definedName name="H_SYNC_RND">'Rev 1.1'!$Q$55</definedName>
    <definedName name="IDEAL_DUTY_CYCLE">'Rev 1.1'!$U$27</definedName>
    <definedName name="INT_RQD?">'Rev 1.1'!$K$11</definedName>
    <definedName name="INTERLACE">'Rev 1.1'!$Q$33</definedName>
    <definedName name="IP_FREQ_RQD">'Rev 1.1'!$K$12</definedName>
    <definedName name="LEFT_MARGIN">'Rev 1.1'!$Q$19</definedName>
    <definedName name="M_PRIME">'Rev 1.1'!$K$115</definedName>
    <definedName name="MARGIN_PER">'Rev 1.1'!$Q$9</definedName>
    <definedName name="MARGINS_RQD?">'Rev 1.1'!$K$10</definedName>
    <definedName name="MIN_V_BPORCH">'Rev 1.1'!$K$102</definedName>
    <definedName name="MIN_V_PORCH">'Rev 1.1'!$K$103</definedName>
    <definedName name="MIN_V_PORCH_RND">'Rev 1.1'!$Q$10</definedName>
    <definedName name="MIN_VSYNC_BP">'Rev 1.1'!$U$8</definedName>
    <definedName name="RB_H_BLANK">'Rev 1.1'!$Y$10</definedName>
    <definedName name="RB_MIN_V_BLANK">'Rev 1.1'!$Y$8</definedName>
    <definedName name="RB_MIN_VBI">'Rev 1.1'!$Y$20</definedName>
    <definedName name="RB_V_FPORCH">'Rev 1.1'!$K$124</definedName>
    <definedName name="RED_BLANK_RQD?">'Rev 1.1'!$K$13</definedName>
    <definedName name="RIGHT_MARGIN">'Rev 1.1'!$Q$20</definedName>
    <definedName name="TOP_MARGIN">'Rev 1.1'!$Q$29</definedName>
    <definedName name="TOTAL_ACTIVE_PIXELS">'Rev 1.1'!$Q$23</definedName>
    <definedName name="TOTAL_PIXELS">'Rev 1.1'!$Q$49</definedName>
    <definedName name="TOTAL_V_LINES">'Rev 1.1'!$Q$60</definedName>
    <definedName name="V_BACK_PORCH">'Rev 1.1'!$Q$68</definedName>
    <definedName name="V_BLANK">'Rev 1.1'!$Q$62</definedName>
    <definedName name="V_FIELD_RATE_RQD">'Rev 1.1'!$Q$13</definedName>
    <definedName name="V_FRONT_PORCH">'Rev 1.1'!$Q$64</definedName>
    <definedName name="V_LINES">'Rev 1.1'!$K$9</definedName>
    <definedName name="V_LINES_RND">'Rev 1.1'!$Q$26</definedName>
    <definedName name="V_SYNC">'Rev 1.1'!$K$93</definedName>
    <definedName name="V_SYNC_BP">'Rev 1.1'!$U$18</definedName>
    <definedName name="V_SYNC_RND">'Rev 1.1'!$Q$66</definedName>
    <definedName name="VBI_LINES">'Rev 1.1'!$Y$16</definedName>
    <definedName name="VSYNC_WIDTH_TABLE">'Rev 1.1'!$D$135:$E$142</definedName>
  </definedNames>
  <calcPr calcId="144525"/>
</workbook>
</file>

<file path=xl/sharedStrings.xml><?xml version="1.0" encoding="utf-8"?>
<sst xmlns="http://schemas.openxmlformats.org/spreadsheetml/2006/main" count="285" uniqueCount="212">
  <si>
    <t>MCTRL4K Ultra-High Resolution Settings Generator (Rev 1.1)</t>
  </si>
  <si>
    <t>The following results are obtained by changing the parameter values in the yellow cells:</t>
  </si>
  <si>
    <t>Horizontal Pixels</t>
  </si>
  <si>
    <t>Timing Parameter</t>
  </si>
  <si>
    <t>Active Pixels</t>
  </si>
  <si>
    <t>Front Porch (Pixels)</t>
  </si>
  <si>
    <t>Sync Width (Pixels)</t>
  </si>
  <si>
    <t>Total Pixels</t>
  </si>
  <si>
    <t>Polarity</t>
  </si>
  <si>
    <t>Configuration Check:</t>
  </si>
  <si>
    <t>Vertical Lines</t>
  </si>
  <si>
    <t>Horizontal</t>
  </si>
  <si>
    <t>Refresh Rate</t>
  </si>
  <si>
    <t>Vertical</t>
  </si>
  <si>
    <t>CONSTANTS:</t>
  </si>
  <si>
    <t>STANDARD CRT TIMING SCRATCH PAD:</t>
  </si>
  <si>
    <t>REDUCED BLANKING SCRATCH PAD:</t>
  </si>
  <si>
    <t>CHECKS:</t>
  </si>
  <si>
    <t>1) Enter Desired Horizontal Pixels Here =&gt;</t>
  </si>
  <si>
    <t>CELL_GRAN_RND (Pixels) =</t>
  </si>
  <si>
    <t xml:space="preserve">MIN_VSYNC_BP (uS) = </t>
  </si>
  <si>
    <t>RB_MIN_V_BLANK (us) =</t>
  </si>
  <si>
    <t>2) Enter Desired Vertical Pixels Here =&gt;</t>
  </si>
  <si>
    <t>MARGIN_PER (%) =</t>
  </si>
  <si>
    <t>H_SYNC_PER (%) =</t>
  </si>
  <si>
    <t>RB_H_SYNC (Pixels) =</t>
  </si>
  <si>
    <t>3) Enter If You Want Margins Here (Y or N) =&gt;</t>
  </si>
  <si>
    <t>n</t>
  </si>
  <si>
    <t xml:space="preserve">MIN_V_PORCH_RND (Lines) = </t>
  </si>
  <si>
    <t>RB_H_BLANK (Pixels) =</t>
  </si>
  <si>
    <t>4) Enter If You Want Interlace Here (Y or N) =&gt;</t>
  </si>
  <si>
    <t xml:space="preserve"> </t>
  </si>
  <si>
    <t>COMMON TIMING PARAMETERS:</t>
  </si>
  <si>
    <t>SPEC STEP #:</t>
  </si>
  <si>
    <t>5) Enter Vertical Scan Frame Rate Here =&gt;</t>
  </si>
  <si>
    <t>Hz</t>
  </si>
  <si>
    <t>REQUIRED FIELD RATE</t>
  </si>
  <si>
    <t>ESTIMATE HORIZ. PERIOD (us):</t>
  </si>
  <si>
    <t>6) Enter If You Want Reduced Blanking Here (Y or N) =&gt;</t>
  </si>
  <si>
    <t>y</t>
  </si>
  <si>
    <t xml:space="preserve">V_FIELD_RATE (Hz) = </t>
  </si>
  <si>
    <t>Estimated H period =</t>
  </si>
  <si>
    <t>STATUS:</t>
  </si>
  <si>
    <t>HORIZONTAL PIXELS</t>
  </si>
  <si>
    <t>FIND NUMBER OF LINES IN (SYNC + BACK PORCH):</t>
  </si>
  <si>
    <t>FIND NUMBER OF LINES IN VERTICAL BLANKING:</t>
  </si>
  <si>
    <t>ERROR/WARNING MESSAGE</t>
  </si>
  <si>
    <t xml:space="preserve">H_PIXELS_RND = </t>
  </si>
  <si>
    <t>Estimated V_SYNC_BP</t>
  </si>
  <si>
    <t xml:space="preserve">VBI_LINES = </t>
  </si>
  <si>
    <t>(Actual value =)</t>
  </si>
  <si>
    <t>(Actual value)</t>
  </si>
  <si>
    <t>DETERMINE LEFT &amp; RIGHT BORDERS</t>
  </si>
  <si>
    <t>V_SYNC_BP</t>
  </si>
  <si>
    <t xml:space="preserve">LEFT_MARGIN = </t>
  </si>
  <si>
    <t>CHECK VERTICAL BLANKING IS SUFFICENT</t>
  </si>
  <si>
    <t xml:space="preserve">RIGHT_MARGIN = </t>
  </si>
  <si>
    <t>FIND NUMBER OF LINES IN BACK PORCH (Lines):</t>
  </si>
  <si>
    <t>Minimum VBI Lines=</t>
  </si>
  <si>
    <t>Back porch =</t>
  </si>
  <si>
    <t>ACT_VBI_LINES =</t>
  </si>
  <si>
    <t>FIND TOTAL ACTIVE PIXELS</t>
  </si>
  <si>
    <t xml:space="preserve">TOTAL_ACTIVE_PIXELS = </t>
  </si>
  <si>
    <t>FIND TOTAL NUMBER OF LINES IN VERTICAL FIELD:</t>
  </si>
  <si>
    <t xml:space="preserve">Total lines = </t>
  </si>
  <si>
    <t>FIND NUMBER OF LINES PER FIELD</t>
  </si>
  <si>
    <t xml:space="preserve">V_LINES_RND = </t>
  </si>
  <si>
    <t>FIND IDEAL BLANKING DUTY CYCLE FROM FORMULA (%):</t>
  </si>
  <si>
    <t>FIND TOTAL NUMBER OF PIXELS IN A LINE (Pixels):</t>
  </si>
  <si>
    <t>IDEAL_DUTY_CYCLE</t>
  </si>
  <si>
    <t>Total number of pixels=</t>
  </si>
  <si>
    <t>FIND TOP &amp; BOTTOM MARGINS</t>
  </si>
  <si>
    <t>HOR PIXELS</t>
  </si>
  <si>
    <t>PIXELS</t>
  </si>
  <si>
    <t xml:space="preserve">TOP_MARGIN = </t>
  </si>
  <si>
    <t>FIND BLANKING TIME TO NEAREST CHAR CELL (Pixels):</t>
  </si>
  <si>
    <t>FIND PIXEL CLOCK FREQUENCY (MHz):</t>
  </si>
  <si>
    <t>VER PIXELS</t>
  </si>
  <si>
    <t>LINES</t>
  </si>
  <si>
    <t xml:space="preserve">BOT_MARGIN = </t>
  </si>
  <si>
    <t>Blanking time =</t>
  </si>
  <si>
    <t>HOR FREQUENCY</t>
  </si>
  <si>
    <t>kHz</t>
  </si>
  <si>
    <t>Non-rounded value =</t>
  </si>
  <si>
    <t>ACTUAL VER FREQUENCY</t>
  </si>
  <si>
    <t>INTERLACE</t>
  </si>
  <si>
    <t>PIXEL CLOCK</t>
  </si>
  <si>
    <t>MHz</t>
  </si>
  <si>
    <t xml:space="preserve">INTERLACE = </t>
  </si>
  <si>
    <t>FIND ACTUAL HORIZONTAL FREQUENCY (kHz):</t>
  </si>
  <si>
    <t xml:space="preserve">CHARACTER WIDTH </t>
  </si>
  <si>
    <t>ns</t>
  </si>
  <si>
    <t xml:space="preserve">Horiz. freq = </t>
  </si>
  <si>
    <t>SCAN TYPE</t>
  </si>
  <si>
    <t>RESULTS:</t>
  </si>
  <si>
    <t>ASPECT RATIO</t>
  </si>
  <si>
    <t>FIND ACTUAL FIELD RATE (Hz):</t>
  </si>
  <si>
    <t>HSYNC POLARITY</t>
  </si>
  <si>
    <t>Estimated Horizontal Frequency (kHz):</t>
  </si>
  <si>
    <t>Actual vertical field rate =</t>
  </si>
  <si>
    <t>VSYNC POLARITY</t>
  </si>
  <si>
    <t xml:space="preserve">H_PERIOD_EST = </t>
  </si>
  <si>
    <t>FIND ACTUAL VERTICAL  FRAME FREQUENCY (Hz):</t>
  </si>
  <si>
    <t>Actual Horizontal Frequency (kHz):</t>
  </si>
  <si>
    <t>Actual vertical frame rate =</t>
  </si>
  <si>
    <t>HOR TOTAL</t>
  </si>
  <si>
    <t>us</t>
  </si>
  <si>
    <t>CHARS</t>
  </si>
  <si>
    <t xml:space="preserve">ACT_H_FREQ = </t>
  </si>
  <si>
    <t>HOR ADDR</t>
  </si>
  <si>
    <t>Actual Vertical Frequency (Hz):</t>
  </si>
  <si>
    <t>ACT_FIELD_RATE =</t>
  </si>
  <si>
    <t xml:space="preserve">ACT_FRAME_RATE = </t>
  </si>
  <si>
    <t>HOR BLANK</t>
  </si>
  <si>
    <t>Actual Pixel Clock (MHz):</t>
  </si>
  <si>
    <t>HOR BLANK+MARGIN</t>
  </si>
  <si>
    <t xml:space="preserve">ACT_PIXEL_FREQ = </t>
  </si>
  <si>
    <t>PREDICTED H BLANK DUTY CYCLE</t>
  </si>
  <si>
    <t>%</t>
  </si>
  <si>
    <t>(from GTF blanking formula)</t>
  </si>
  <si>
    <t>Horizontal Total (Pixels):</t>
  </si>
  <si>
    <t>ACTUAL HOR BLANK DUTY CYCLE</t>
  </si>
  <si>
    <t xml:space="preserve">TOTAL_PIXELS = </t>
  </si>
  <si>
    <t>ACT. HOR BLNK+MARGIN DUTY CYCLE</t>
  </si>
  <si>
    <t>Horizontal Blanking (Pixels):</t>
  </si>
  <si>
    <t xml:space="preserve">H LEFT MARGIN </t>
  </si>
  <si>
    <t xml:space="preserve">H_BLANK = </t>
  </si>
  <si>
    <t xml:space="preserve">H FRONT PORCH </t>
  </si>
  <si>
    <t>Hor Front Porch:</t>
  </si>
  <si>
    <t>HOR SYNC</t>
  </si>
  <si>
    <t xml:space="preserve">H_FRONT_PORCH = </t>
  </si>
  <si>
    <t>H BACK PORCH</t>
  </si>
  <si>
    <t>Hor Sync:</t>
  </si>
  <si>
    <t>H RIGHT MARGIN</t>
  </si>
  <si>
    <t xml:space="preserve">H_SYNC_RND = </t>
  </si>
  <si>
    <t>Hor Back Porch:</t>
  </si>
  <si>
    <t xml:space="preserve">H_BACK_PORCH = </t>
  </si>
  <si>
    <t>VER TOTAL</t>
  </si>
  <si>
    <t>ms</t>
  </si>
  <si>
    <t>VER ADDR</t>
  </si>
  <si>
    <t>Vertical Total (lines):</t>
  </si>
  <si>
    <t xml:space="preserve">TOTAL_V_LINES = </t>
  </si>
  <si>
    <t>Vertical Blanking (lines):</t>
  </si>
  <si>
    <t>VER BLANK</t>
  </si>
  <si>
    <t xml:space="preserve">V_BLANK = </t>
  </si>
  <si>
    <t>V TOP MARGIN</t>
  </si>
  <si>
    <t>Ver Front Porch:</t>
  </si>
  <si>
    <t>V FRONT PORCH</t>
  </si>
  <si>
    <t xml:space="preserve">V_FRONT_PORCH = </t>
  </si>
  <si>
    <t>VER SYNC</t>
  </si>
  <si>
    <t>Ver Sync:</t>
  </si>
  <si>
    <t>V BACK PORCH</t>
  </si>
  <si>
    <t xml:space="preserve">V_SYNC_RND = </t>
  </si>
  <si>
    <t>V BOTTOM MARGIN</t>
  </si>
  <si>
    <t>Ver Back Porch:</t>
  </si>
  <si>
    <t xml:space="preserve">V_BACK_PROCH = </t>
  </si>
  <si>
    <t>DEFAULT PARAMETER VALUES</t>
  </si>
  <si>
    <t>STANDARD TIMING:</t>
  </si>
  <si>
    <t>1) These are the default values that define the MARGIN size:</t>
  </si>
  <si>
    <t>Note:</t>
  </si>
  <si>
    <t xml:space="preserve"> Only ratio of MARGIN to image is important. Top and Bottom MARGINs are equal</t>
  </si>
  <si>
    <t xml:space="preserve">Side MARGINs are proportional to the ratio of image H/V pixels </t>
  </si>
  <si>
    <t>GIVE:</t>
  </si>
  <si>
    <t>Top/ bottom MARGIN size as % of height  (%)  {DEFAULT = 1.8}</t>
  </si>
  <si>
    <t>2) This default value defines the horizontal timing boundaries:</t>
  </si>
  <si>
    <t>Character cell horizontal granularity (pixels)  {DEFAULT = 8}</t>
  </si>
  <si>
    <t>3) These default values define analog system sync pulse width limitations:</t>
  </si>
  <si>
    <t>Vertical sync width (in lines) will be rounded down to nearest integer</t>
  </si>
  <si>
    <t>Horizontal sync width will be rounded to nearest char cell boundary</t>
  </si>
  <si>
    <t>Number of lines for vertical sync (lines)  {Derived from table}</t>
  </si>
  <si>
    <t>Nominal H sync width (% of line period)  {DEFAULT = 8}</t>
  </si>
  <si>
    <t>4) These default values define analog scan system vertical blanking time limitations:</t>
  </si>
  <si>
    <t xml:space="preserve">Vertical blanking time will rounded to nearest integer number of lines </t>
  </si>
  <si>
    <t>Minimum time of vertical sync+back porch interval (us)</t>
  </si>
  <si>
    <t>{DEFAULT = 550}</t>
  </si>
  <si>
    <t>Minimum number of vertical back porch lines {DEFAULT = 6}</t>
  </si>
  <si>
    <t>Minimum vertical porch (no of lines) {DEFAULT = 3}</t>
  </si>
  <si>
    <t>5) Definition of Horizontal blanking time limitation:</t>
  </si>
  <si>
    <t>Generalized blanking limitation formula used of the form:</t>
  </si>
  <si>
    <t xml:space="preserve">&lt;H BLANKING TIME (%)&gt; =C - ( M / Fh)  </t>
  </si>
  <si>
    <t>Where:</t>
  </si>
  <si>
    <t>M (gradient) (%/kHz)  {DEFAULT = 600}</t>
  </si>
  <si>
    <t>C (offset) (%)  {DEFAULT = 40}</t>
  </si>
  <si>
    <t>K (blanking time scaling factor)  {DEFAULT = 128}</t>
  </si>
  <si>
    <t>J (scaling factor weighting)  {DEFAULT = 20}</t>
  </si>
  <si>
    <t>M' = K / 256 * M</t>
  </si>
  <si>
    <t>C' = ( ( C - J ) * K / 256 ) + J</t>
  </si>
  <si>
    <t>REDUCED BLANKING TIMING:</t>
  </si>
  <si>
    <t>Fixed number of clocks for horizontal blanking  {DEFAULT = 160}</t>
  </si>
  <si>
    <t>Fixed number of clocks for horizontal sync  {DEFAULT = 32}</t>
  </si>
  <si>
    <t>Minimum vertical blanking interval time (us)  {DEFAULT = 460}</t>
  </si>
  <si>
    <t>Fixed number of lines for vertical front porch  {DEFAULT = 3}</t>
  </si>
  <si>
    <t>Minimum number of vertical back porch lines  {DEFAULT = 6}</t>
  </si>
  <si>
    <t>PIXEL CLOCK STEP (MHz):</t>
  </si>
  <si>
    <t>ASPECT RATIO VARIABLES:</t>
  </si>
  <si>
    <t>VSYNC WIDTH</t>
  </si>
  <si>
    <t>HSYNC / VSYNC POLARITY</t>
  </si>
  <si>
    <t>Lines</t>
  </si>
  <si>
    <t>4:3</t>
  </si>
  <si>
    <t>Hsync</t>
  </si>
  <si>
    <t>Vsync</t>
  </si>
  <si>
    <t>Description</t>
  </si>
  <si>
    <t>16:9</t>
  </si>
  <si>
    <t>NEGATIVE</t>
  </si>
  <si>
    <t>POSITIVE</t>
  </si>
  <si>
    <t>Standard CRT Based Timing (CVT-GTF)</t>
  </si>
  <si>
    <t>16:10</t>
  </si>
  <si>
    <t>Reduced Blanking (CVT-RB)</t>
  </si>
  <si>
    <t>5:4</t>
  </si>
  <si>
    <t>15:9</t>
  </si>
  <si>
    <t>Reserved</t>
  </si>
  <si>
    <t>Custom</t>
  </si>
</sst>
</file>

<file path=xl/styles.xml><?xml version="1.0" encoding="utf-8"?>
<styleSheet xmlns="http://schemas.openxmlformats.org/spreadsheetml/2006/main">
  <numFmts count="8">
    <numFmt numFmtId="42" formatCode="_ &quot;￥&quot;* #,##0_ ;_ &quot;￥&quot;* \-#,##0_ ;_ &quot;￥&quot;* &quot;-&quot;_ ;_ @_ "/>
    <numFmt numFmtId="176" formatCode="#,##0.000_);[Red]\(#,##0.000\)"/>
    <numFmt numFmtId="44" formatCode="_ &quot;￥&quot;* #,##0.00_ ;_ &quot;￥&quot;* \-#,##0.00_ ;_ &quot;￥&quot;* &quot;-&quot;??_ ;_ @_ "/>
    <numFmt numFmtId="177" formatCode="0.0"/>
    <numFmt numFmtId="41" formatCode="_ * #,##0_ ;_ * \-#,##0_ ;_ * &quot;-&quot;_ ;_ @_ "/>
    <numFmt numFmtId="43" formatCode="_ * #,##0.00_ ;_ * \-#,##0.00_ ;_ * &quot;-&quot;??_ ;_ @_ "/>
    <numFmt numFmtId="178" formatCode="0.000"/>
    <numFmt numFmtId="179" formatCode="#,##0.0_);[Red]\(#,##0.0\)"/>
  </numFmts>
  <fonts count="30">
    <font>
      <sz val="11"/>
      <color theme="1"/>
      <name val="等线"/>
      <charset val="134"/>
      <scheme val="minor"/>
    </font>
    <font>
      <sz val="12"/>
      <name val="微软雅黑"/>
      <charset val="134"/>
    </font>
    <font>
      <b/>
      <sz val="12"/>
      <name val="Arial"/>
      <charset val="134"/>
    </font>
    <font>
      <b/>
      <u/>
      <sz val="12"/>
      <name val="Arial"/>
      <charset val="134"/>
    </font>
    <font>
      <sz val="12"/>
      <name val="Arial"/>
      <charset val="134"/>
    </font>
    <font>
      <b/>
      <sz val="12"/>
      <name val="微软雅黑"/>
      <charset val="134"/>
    </font>
    <font>
      <b/>
      <sz val="12"/>
      <color indexed="10"/>
      <name val="微软雅黑"/>
      <charset val="134"/>
    </font>
    <font>
      <b/>
      <u/>
      <sz val="12"/>
      <name val="微软雅黑"/>
      <charset val="134"/>
    </font>
    <font>
      <b/>
      <u/>
      <sz val="12"/>
      <color indexed="10"/>
      <name val="微软雅黑"/>
      <charset val="134"/>
    </font>
    <font>
      <b/>
      <sz val="12"/>
      <color rgb="FFFF0000"/>
      <name val="微软雅黑"/>
      <charset val="134"/>
    </font>
    <font>
      <u/>
      <sz val="12"/>
      <color indexed="10"/>
      <name val="微软雅黑"/>
      <charset val="134"/>
    </font>
    <font>
      <sz val="11"/>
      <color theme="1"/>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1"/>
      <color rgb="FFFA7D00"/>
      <name val="等线"/>
      <charset val="0"/>
      <scheme val="minor"/>
    </font>
    <font>
      <sz val="11"/>
      <color rgb="FF9C6500"/>
      <name val="等线"/>
      <charset val="0"/>
      <scheme val="minor"/>
    </font>
    <font>
      <sz val="11"/>
      <color rgb="FF3F3F76"/>
      <name val="等线"/>
      <charset val="0"/>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FA7D00"/>
      <name val="等线"/>
      <charset val="0"/>
      <scheme val="minor"/>
    </font>
    <font>
      <b/>
      <sz val="15"/>
      <color theme="3"/>
      <name val="等线"/>
      <charset val="134"/>
      <scheme val="minor"/>
    </font>
    <font>
      <sz val="11"/>
      <color rgb="FF006100"/>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theme="9"/>
        <bgColor indexed="64"/>
      </patternFill>
    </fill>
    <fill>
      <patternFill patternType="solid">
        <fgColor theme="6"/>
        <bgColor indexed="64"/>
      </patternFill>
    </fill>
    <fill>
      <patternFill patternType="solid">
        <fgColor rgb="FFFFEB9C"/>
        <bgColor indexed="64"/>
      </patternFill>
    </fill>
    <fill>
      <patternFill patternType="solid">
        <fgColor rgb="FFFFCC99"/>
        <bgColor indexed="64"/>
      </patternFill>
    </fill>
    <fill>
      <patternFill patternType="solid">
        <fgColor theme="8"/>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7"/>
        <bgColor indexed="64"/>
      </patternFill>
    </fill>
    <fill>
      <patternFill patternType="solid">
        <fgColor rgb="FFC6EFCE"/>
        <bgColor indexed="64"/>
      </patternFill>
    </fill>
    <fill>
      <patternFill patternType="solid">
        <fgColor rgb="FFA5A5A5"/>
        <bgColor indexed="64"/>
      </patternFill>
    </fill>
    <fill>
      <patternFill patternType="solid">
        <fgColor theme="4" tint="0.399975585192419"/>
        <bgColor indexed="64"/>
      </patternFill>
    </fill>
  </fills>
  <borders count="6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double">
        <color auto="1"/>
      </left>
      <right/>
      <top style="double">
        <color auto="1"/>
      </top>
      <bottom/>
      <diagonal/>
    </border>
    <border>
      <left/>
      <right/>
      <top style="double">
        <color auto="1"/>
      </top>
      <bottom/>
      <diagonal/>
    </border>
    <border>
      <left style="double">
        <color auto="1"/>
      </left>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double">
        <color auto="1"/>
      </left>
      <right/>
      <top/>
      <bottom style="double">
        <color auto="1"/>
      </bottom>
      <diagonal/>
    </border>
    <border>
      <left/>
      <right/>
      <top/>
      <bottom style="double">
        <color auto="1"/>
      </bottom>
      <diagonal/>
    </border>
    <border>
      <left style="double">
        <color auto="1"/>
      </left>
      <right/>
      <top style="thin">
        <color auto="1"/>
      </top>
      <bottom/>
      <diagonal/>
    </border>
    <border>
      <left style="double">
        <color auto="1"/>
      </left>
      <right/>
      <top/>
      <bottom style="thin">
        <color auto="1"/>
      </bottom>
      <diagonal/>
    </border>
    <border>
      <left/>
      <right style="thin">
        <color auto="1"/>
      </right>
      <top style="thin">
        <color auto="1"/>
      </top>
      <bottom style="thin">
        <color auto="1"/>
      </bottom>
      <diagonal/>
    </border>
    <border>
      <left/>
      <right style="double">
        <color auto="1"/>
      </right>
      <top style="double">
        <color auto="1"/>
      </top>
      <bottom/>
      <diagonal/>
    </border>
    <border>
      <left style="medium">
        <color auto="1"/>
      </left>
      <right/>
      <top style="medium">
        <color auto="1"/>
      </top>
      <bottom/>
      <diagonal/>
    </border>
    <border>
      <left/>
      <right/>
      <top style="medium">
        <color auto="1"/>
      </top>
      <bottom/>
      <diagonal/>
    </border>
    <border>
      <left/>
      <right style="double">
        <color auto="1"/>
      </right>
      <top/>
      <bottom/>
      <diagonal/>
    </border>
    <border>
      <left style="double">
        <color auto="1"/>
      </left>
      <right style="double">
        <color auto="1"/>
      </right>
      <top style="double">
        <color auto="1"/>
      </top>
      <bottom style="double">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double">
        <color auto="1"/>
      </left>
      <right/>
      <top style="double">
        <color auto="1"/>
      </top>
      <bottom style="double">
        <color auto="1"/>
      </bottom>
      <diagonal/>
    </border>
    <border>
      <left/>
      <right style="thin">
        <color auto="1"/>
      </right>
      <top style="thin">
        <color auto="1"/>
      </top>
      <bottom/>
      <diagonal/>
    </border>
    <border>
      <left/>
      <right style="thin">
        <color auto="1"/>
      </right>
      <top/>
      <bottom style="thin">
        <color auto="1"/>
      </bottom>
      <diagonal/>
    </border>
    <border>
      <left/>
      <right style="double">
        <color auto="1"/>
      </right>
      <top/>
      <bottom style="double">
        <color auto="1"/>
      </bottom>
      <diagonal/>
    </border>
    <border>
      <left/>
      <right/>
      <top style="medium">
        <color auto="1"/>
      </top>
      <bottom style="medium">
        <color auto="1"/>
      </bottom>
      <diagonal/>
    </border>
    <border>
      <left/>
      <right style="double">
        <color auto="1"/>
      </right>
      <top/>
      <bottom style="thin">
        <color auto="1"/>
      </bottom>
      <diagonal/>
    </border>
    <border>
      <left/>
      <right style="double">
        <color auto="1"/>
      </right>
      <top style="thin">
        <color auto="1"/>
      </top>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top style="double">
        <color auto="1"/>
      </top>
      <bottom style="double">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0" fillId="0" borderId="0" applyFont="0" applyFill="0" applyBorder="0" applyAlignment="0" applyProtection="0">
      <alignment vertical="center"/>
    </xf>
    <xf numFmtId="0" fontId="11" fillId="14" borderId="0" applyNumberFormat="0" applyBorder="0" applyAlignment="0" applyProtection="0">
      <alignment vertical="center"/>
    </xf>
    <xf numFmtId="0" fontId="20" fillId="20" borderId="5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9"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13"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28" borderId="62" applyNumberFormat="0" applyFont="0" applyAlignment="0" applyProtection="0">
      <alignment vertical="center"/>
    </xf>
    <xf numFmtId="0" fontId="16" fillId="16" borderId="0" applyNumberFormat="0" applyBorder="0" applyAlignment="0" applyProtection="0">
      <alignment vertical="center"/>
    </xf>
    <xf numFmtId="0" fontId="1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5" fillId="0" borderId="61" applyNumberFormat="0" applyFill="0" applyAlignment="0" applyProtection="0">
      <alignment vertical="center"/>
    </xf>
    <xf numFmtId="0" fontId="28" fillId="0" borderId="61" applyNumberFormat="0" applyFill="0" applyAlignment="0" applyProtection="0">
      <alignment vertical="center"/>
    </xf>
    <xf numFmtId="0" fontId="16" fillId="33" borderId="0" applyNumberFormat="0" applyBorder="0" applyAlignment="0" applyProtection="0">
      <alignment vertical="center"/>
    </xf>
    <xf numFmtId="0" fontId="13" fillId="0" borderId="59" applyNumberFormat="0" applyFill="0" applyAlignment="0" applyProtection="0">
      <alignment vertical="center"/>
    </xf>
    <xf numFmtId="0" fontId="16" fillId="27" borderId="0" applyNumberFormat="0" applyBorder="0" applyAlignment="0" applyProtection="0">
      <alignment vertical="center"/>
    </xf>
    <xf numFmtId="0" fontId="17" fillId="12" borderId="56" applyNumberFormat="0" applyAlignment="0" applyProtection="0">
      <alignment vertical="center"/>
    </xf>
    <xf numFmtId="0" fontId="18" fillId="12" borderId="57" applyNumberFormat="0" applyAlignment="0" applyProtection="0">
      <alignment vertical="center"/>
    </xf>
    <xf numFmtId="0" fontId="27" fillId="32" borderId="63" applyNumberFormat="0" applyAlignment="0" applyProtection="0">
      <alignment vertical="center"/>
    </xf>
    <xf numFmtId="0" fontId="11" fillId="24" borderId="0" applyNumberFormat="0" applyBorder="0" applyAlignment="0" applyProtection="0">
      <alignment vertical="center"/>
    </xf>
    <xf numFmtId="0" fontId="16" fillId="15" borderId="0" applyNumberFormat="0" applyBorder="0" applyAlignment="0" applyProtection="0">
      <alignment vertical="center"/>
    </xf>
    <xf numFmtId="0" fontId="24" fillId="0" borderId="60" applyNumberFormat="0" applyFill="0" applyAlignment="0" applyProtection="0">
      <alignment vertical="center"/>
    </xf>
    <xf numFmtId="0" fontId="21" fillId="0" borderId="58" applyNumberFormat="0" applyFill="0" applyAlignment="0" applyProtection="0">
      <alignment vertical="center"/>
    </xf>
    <xf numFmtId="0" fontId="26" fillId="31" borderId="0" applyNumberFormat="0" applyBorder="0" applyAlignment="0" applyProtection="0">
      <alignment vertical="center"/>
    </xf>
    <xf numFmtId="0" fontId="19" fillId="19" borderId="0" applyNumberFormat="0" applyBorder="0" applyAlignment="0" applyProtection="0">
      <alignment vertical="center"/>
    </xf>
    <xf numFmtId="0" fontId="11" fillId="4" borderId="0" applyNumberFormat="0" applyBorder="0" applyAlignment="0" applyProtection="0">
      <alignment vertical="center"/>
    </xf>
    <xf numFmtId="0" fontId="16" fillId="8" borderId="0" applyNumberFormat="0" applyBorder="0" applyAlignment="0" applyProtection="0">
      <alignment vertical="center"/>
    </xf>
    <xf numFmtId="0" fontId="11" fillId="23" borderId="0" applyNumberFormat="0" applyBorder="0" applyAlignment="0" applyProtection="0">
      <alignment vertical="center"/>
    </xf>
    <xf numFmtId="0" fontId="11" fillId="11" borderId="0" applyNumberFormat="0" applyBorder="0" applyAlignment="0" applyProtection="0">
      <alignment vertical="center"/>
    </xf>
    <xf numFmtId="0" fontId="11" fillId="26" borderId="0" applyNumberFormat="0" applyBorder="0" applyAlignment="0" applyProtection="0">
      <alignment vertical="center"/>
    </xf>
    <xf numFmtId="0" fontId="11" fillId="22" borderId="0" applyNumberFormat="0" applyBorder="0" applyAlignment="0" applyProtection="0">
      <alignment vertical="center"/>
    </xf>
    <xf numFmtId="0" fontId="16" fillId="18" borderId="0" applyNumberFormat="0" applyBorder="0" applyAlignment="0" applyProtection="0">
      <alignment vertical="center"/>
    </xf>
    <xf numFmtId="0" fontId="16" fillId="30" borderId="0" applyNumberFormat="0" applyBorder="0" applyAlignment="0" applyProtection="0">
      <alignment vertical="center"/>
    </xf>
    <xf numFmtId="0" fontId="11" fillId="10" borderId="0" applyNumberFormat="0" applyBorder="0" applyAlignment="0" applyProtection="0">
      <alignment vertical="center"/>
    </xf>
    <xf numFmtId="0" fontId="11" fillId="29" borderId="0" applyNumberFormat="0" applyBorder="0" applyAlignment="0" applyProtection="0">
      <alignment vertical="center"/>
    </xf>
    <xf numFmtId="0" fontId="16" fillId="21" borderId="0" applyNumberFormat="0" applyBorder="0" applyAlignment="0" applyProtection="0">
      <alignment vertical="center"/>
    </xf>
    <xf numFmtId="0" fontId="11" fillId="25" borderId="0" applyNumberFormat="0" applyBorder="0" applyAlignment="0" applyProtection="0">
      <alignment vertical="center"/>
    </xf>
    <xf numFmtId="0" fontId="16" fillId="7" borderId="0" applyNumberFormat="0" applyBorder="0" applyAlignment="0" applyProtection="0">
      <alignment vertical="center"/>
    </xf>
    <xf numFmtId="0" fontId="16" fillId="17" borderId="0" applyNumberFormat="0" applyBorder="0" applyAlignment="0" applyProtection="0">
      <alignment vertical="center"/>
    </xf>
    <xf numFmtId="0" fontId="11" fillId="3" borderId="0" applyNumberFormat="0" applyBorder="0" applyAlignment="0" applyProtection="0">
      <alignment vertical="center"/>
    </xf>
    <xf numFmtId="0" fontId="16" fillId="6" borderId="0" applyNumberFormat="0" applyBorder="0" applyAlignment="0" applyProtection="0">
      <alignment vertical="center"/>
    </xf>
  </cellStyleXfs>
  <cellXfs count="236">
    <xf numFmtId="0" fontId="0" fillId="0" borderId="0" xfId="0"/>
    <xf numFmtId="0" fontId="1" fillId="0" borderId="0" xfId="0" applyFont="1" applyAlignment="1" applyProtection="1">
      <alignment vertical="center"/>
    </xf>
    <xf numFmtId="0" fontId="1" fillId="0" borderId="0" xfId="0" applyFont="1" applyAlignment="1" applyProtection="1">
      <alignment horizontal="center" vertical="center"/>
    </xf>
    <xf numFmtId="1" fontId="1" fillId="0" borderId="0" xfId="0" applyNumberFormat="1" applyFont="1" applyAlignment="1" applyProtection="1">
      <alignment vertical="center"/>
    </xf>
    <xf numFmtId="0" fontId="1" fillId="0" borderId="0" xfId="0" applyFont="1" applyAlignment="1" applyProtection="1">
      <alignment horizontal="left" vertical="center"/>
    </xf>
    <xf numFmtId="0" fontId="1" fillId="0" borderId="0" xfId="0" applyFont="1" applyAlignment="1" applyProtection="1">
      <alignment horizontal="right" vertical="center"/>
    </xf>
    <xf numFmtId="1" fontId="1" fillId="0" borderId="0" xfId="0" applyNumberFormat="1" applyFont="1" applyAlignment="1" applyProtection="1">
      <alignment horizontal="center" vertical="center"/>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1" fillId="0" borderId="1" xfId="0" applyFont="1" applyBorder="1" applyAlignment="1" applyProtection="1">
      <alignment horizontal="center" vertical="center" wrapText="1"/>
    </xf>
    <xf numFmtId="0" fontId="1" fillId="2" borderId="1" xfId="0" applyNumberFormat="1" applyFont="1" applyFill="1" applyBorder="1" applyAlignment="1" applyProtection="1">
      <alignment horizontal="center" vertical="center"/>
      <protection locked="0"/>
    </xf>
    <xf numFmtId="0" fontId="1" fillId="0" borderId="1" xfId="0" applyFont="1" applyBorder="1" applyAlignment="1" applyProtection="1">
      <alignment vertical="center"/>
    </xf>
    <xf numFmtId="0" fontId="4" fillId="0" borderId="1" xfId="0" applyFont="1" applyBorder="1" applyAlignment="1" applyProtection="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0" xfId="0" applyFont="1" applyBorder="1" applyAlignment="1" applyProtection="1">
      <alignment vertical="center"/>
    </xf>
    <xf numFmtId="0" fontId="1" fillId="0" borderId="0" xfId="0" applyFont="1" applyBorder="1" applyAlignment="1" applyProtection="1">
      <alignment horizontal="center" vertical="center"/>
    </xf>
    <xf numFmtId="0" fontId="1" fillId="0" borderId="4" xfId="0" applyFont="1" applyBorder="1" applyAlignment="1" applyProtection="1">
      <alignment vertical="center"/>
    </xf>
    <xf numFmtId="0" fontId="1" fillId="0" borderId="5" xfId="0" applyFont="1" applyBorder="1" applyAlignment="1" applyProtection="1">
      <alignment horizontal="center" vertical="center"/>
    </xf>
    <xf numFmtId="0" fontId="1" fillId="0" borderId="5" xfId="0" applyFont="1" applyBorder="1" applyAlignment="1" applyProtection="1">
      <alignment vertical="center"/>
    </xf>
    <xf numFmtId="0" fontId="1" fillId="0" borderId="6" xfId="0" applyFont="1" applyBorder="1" applyAlignment="1" applyProtection="1">
      <alignment vertical="center"/>
    </xf>
    <xf numFmtId="0" fontId="5" fillId="0" borderId="0" xfId="0" applyFont="1" applyBorder="1" applyAlignment="1" applyProtection="1">
      <alignment horizontal="center" vertical="center"/>
    </xf>
    <xf numFmtId="176" fontId="5" fillId="0" borderId="0" xfId="0" applyNumberFormat="1" applyFont="1" applyBorder="1" applyAlignment="1" applyProtection="1">
      <alignment horizontal="center" vertical="center"/>
    </xf>
    <xf numFmtId="176" fontId="1" fillId="0" borderId="0" xfId="0" applyNumberFormat="1" applyFont="1" applyBorder="1" applyAlignment="1" applyProtection="1">
      <alignment horizontal="center" vertical="center"/>
    </xf>
    <xf numFmtId="0" fontId="1" fillId="0" borderId="0" xfId="0" applyFont="1" applyBorder="1" applyAlignment="1" applyProtection="1">
      <alignment horizontal="left" vertical="center" wrapText="1"/>
    </xf>
    <xf numFmtId="0" fontId="1" fillId="0" borderId="0" xfId="0" applyFont="1" applyBorder="1" applyAlignment="1" applyProtection="1">
      <alignment horizontal="left" vertical="center"/>
    </xf>
    <xf numFmtId="0" fontId="1" fillId="0" borderId="0" xfId="0" applyFont="1" applyBorder="1" applyAlignment="1" applyProtection="1">
      <alignment horizontal="left" vertical="center" wrapText="1" indent="2"/>
    </xf>
    <xf numFmtId="0" fontId="1" fillId="0" borderId="0" xfId="0" applyFont="1" applyBorder="1" applyAlignment="1" applyProtection="1">
      <alignment horizontal="left" vertical="center" indent="2"/>
    </xf>
    <xf numFmtId="0" fontId="5" fillId="0" borderId="7" xfId="0" applyFont="1" applyBorder="1" applyAlignment="1" applyProtection="1">
      <alignment horizontal="center" vertical="center"/>
    </xf>
    <xf numFmtId="0" fontId="6" fillId="0" borderId="8" xfId="0" applyFont="1" applyBorder="1" applyAlignment="1" applyProtection="1">
      <alignment horizontal="left" vertical="center" wrapText="1"/>
    </xf>
    <xf numFmtId="0" fontId="6" fillId="0" borderId="9" xfId="0" applyFont="1" applyBorder="1" applyAlignment="1" applyProtection="1">
      <alignment horizontal="center" vertical="center" wrapText="1"/>
    </xf>
    <xf numFmtId="0" fontId="6" fillId="0" borderId="9" xfId="0" applyFont="1" applyBorder="1" applyAlignment="1" applyProtection="1">
      <alignment horizontal="left" vertical="center" wrapText="1"/>
    </xf>
    <xf numFmtId="0" fontId="1" fillId="0" borderId="7" xfId="0" applyFont="1" applyBorder="1" applyAlignment="1">
      <alignment horizontal="center" vertical="center"/>
    </xf>
    <xf numFmtId="0" fontId="1" fillId="0" borderId="10" xfId="0"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center" vertical="center" wrapText="1"/>
    </xf>
    <xf numFmtId="0" fontId="1" fillId="0" borderId="12" xfId="0" applyFont="1" applyBorder="1" applyAlignment="1">
      <alignment horizontal="left" vertical="center" wrapText="1"/>
    </xf>
    <xf numFmtId="0" fontId="1" fillId="0" borderId="13" xfId="0" applyFont="1" applyBorder="1" applyAlignment="1" applyProtection="1">
      <alignment vertical="center"/>
    </xf>
    <xf numFmtId="0" fontId="7" fillId="0" borderId="14"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4" xfId="0" applyFont="1" applyBorder="1" applyAlignment="1" applyProtection="1">
      <alignment vertical="center"/>
    </xf>
    <xf numFmtId="0" fontId="7" fillId="0" borderId="5" xfId="0" applyFont="1" applyBorder="1" applyAlignment="1" applyProtection="1">
      <alignment horizontal="center" vertical="center"/>
    </xf>
    <xf numFmtId="0" fontId="7" fillId="0" borderId="0" xfId="0" applyFont="1" applyBorder="1" applyAlignment="1" applyProtection="1">
      <alignment horizontal="center" vertical="center"/>
    </xf>
    <xf numFmtId="0" fontId="5" fillId="0" borderId="0" xfId="0" applyFont="1" applyBorder="1" applyAlignment="1" applyProtection="1">
      <alignment vertical="center"/>
    </xf>
    <xf numFmtId="0" fontId="1" fillId="0" borderId="0" xfId="0" applyFont="1" applyBorder="1" applyAlignment="1">
      <alignment horizontal="center" vertical="center"/>
    </xf>
    <xf numFmtId="0" fontId="1" fillId="0" borderId="0" xfId="0" applyFont="1" applyBorder="1" applyAlignment="1">
      <alignment vertical="center"/>
    </xf>
    <xf numFmtId="0" fontId="1" fillId="0" borderId="4"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3" fontId="6" fillId="0" borderId="5" xfId="0" applyNumberFormat="1" applyFont="1" applyBorder="1" applyAlignment="1" applyProtection="1">
      <alignment vertical="center"/>
    </xf>
    <xf numFmtId="3" fontId="5" fillId="0" borderId="0" xfId="0" applyNumberFormat="1" applyFont="1" applyBorder="1" applyAlignment="1" applyProtection="1">
      <alignment horizontal="center" vertical="center"/>
    </xf>
    <xf numFmtId="3" fontId="6" fillId="0" borderId="0" xfId="0" applyNumberFormat="1" applyFont="1" applyBorder="1" applyAlignment="1" applyProtection="1">
      <alignment vertical="center"/>
    </xf>
    <xf numFmtId="3" fontId="1" fillId="0" borderId="0" xfId="0" applyNumberFormat="1" applyFont="1" applyBorder="1" applyAlignment="1" applyProtection="1">
      <alignment vertical="center"/>
    </xf>
    <xf numFmtId="3" fontId="5" fillId="0" borderId="0" xfId="0" applyNumberFormat="1" applyFont="1" applyBorder="1" applyAlignment="1" applyProtection="1">
      <alignment vertical="center"/>
    </xf>
    <xf numFmtId="178" fontId="5" fillId="0" borderId="0" xfId="0" applyNumberFormat="1" applyFont="1" applyBorder="1" applyAlignment="1" applyProtection="1">
      <alignment horizontal="center" vertical="center"/>
    </xf>
    <xf numFmtId="178" fontId="1" fillId="0" borderId="0" xfId="0" applyNumberFormat="1" applyFont="1" applyBorder="1" applyAlignment="1" applyProtection="1">
      <alignment horizontal="left" vertical="center"/>
    </xf>
    <xf numFmtId="0" fontId="8" fillId="0" borderId="0"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2" xfId="0" applyFont="1" applyBorder="1" applyAlignment="1" applyProtection="1">
      <alignment vertical="center"/>
    </xf>
    <xf numFmtId="176" fontId="5" fillId="0" borderId="12" xfId="0" applyNumberFormat="1" applyFont="1" applyBorder="1" applyAlignment="1" applyProtection="1">
      <alignment horizontal="center" vertical="center"/>
    </xf>
    <xf numFmtId="0" fontId="1" fillId="0" borderId="12" xfId="0" applyFont="1" applyBorder="1" applyAlignment="1" applyProtection="1">
      <alignment horizontal="left" vertical="center"/>
    </xf>
    <xf numFmtId="3" fontId="1" fillId="0" borderId="12" xfId="0" applyNumberFormat="1" applyFont="1" applyBorder="1" applyAlignment="1" applyProtection="1">
      <alignment vertical="center"/>
    </xf>
    <xf numFmtId="0" fontId="1" fillId="0" borderId="15" xfId="0" applyFont="1" applyBorder="1" applyAlignment="1" applyProtection="1">
      <alignment vertical="center"/>
    </xf>
    <xf numFmtId="0" fontId="8" fillId="0" borderId="9" xfId="0" applyFont="1" applyBorder="1" applyAlignment="1" applyProtection="1">
      <alignment horizontal="center" vertical="center"/>
    </xf>
    <xf numFmtId="176" fontId="1" fillId="0" borderId="0" xfId="0" applyNumberFormat="1" applyFont="1" applyBorder="1" applyAlignment="1" applyProtection="1">
      <alignment horizontal="left" vertical="center"/>
    </xf>
    <xf numFmtId="3" fontId="5" fillId="0" borderId="0" xfId="0" applyNumberFormat="1" applyFont="1" applyBorder="1" applyAlignment="1" applyProtection="1">
      <alignment horizontal="right" vertical="center"/>
    </xf>
    <xf numFmtId="0" fontId="1" fillId="0" borderId="16" xfId="0" applyFont="1" applyBorder="1" applyAlignment="1" applyProtection="1">
      <alignment vertical="center"/>
    </xf>
    <xf numFmtId="0" fontId="5" fillId="0" borderId="12" xfId="0" applyFont="1" applyBorder="1" applyAlignment="1" applyProtection="1">
      <alignment horizontal="center" vertical="center"/>
    </xf>
    <xf numFmtId="176" fontId="1" fillId="0" borderId="12" xfId="0" applyNumberFormat="1" applyFont="1" applyBorder="1" applyAlignment="1" applyProtection="1">
      <alignment horizontal="left" vertical="center"/>
    </xf>
    <xf numFmtId="3" fontId="5" fillId="0" borderId="12" xfId="0" applyNumberFormat="1" applyFont="1" applyBorder="1" applyAlignment="1" applyProtection="1">
      <alignment horizontal="right" vertical="center"/>
    </xf>
    <xf numFmtId="0" fontId="5" fillId="0" borderId="9" xfId="0" applyFont="1" applyBorder="1" applyAlignment="1" applyProtection="1">
      <alignment horizontal="center" vertical="center"/>
    </xf>
    <xf numFmtId="0" fontId="1" fillId="0" borderId="9" xfId="0" applyFont="1" applyBorder="1" applyAlignment="1" applyProtection="1">
      <alignment horizontal="center" vertical="center"/>
    </xf>
    <xf numFmtId="0" fontId="1" fillId="0" borderId="9" xfId="0" applyFont="1" applyBorder="1" applyAlignment="1" applyProtection="1">
      <alignment vertical="center"/>
    </xf>
    <xf numFmtId="176" fontId="5" fillId="0" borderId="9" xfId="0" applyNumberFormat="1" applyFont="1" applyBorder="1" applyAlignment="1" applyProtection="1">
      <alignment horizontal="center" vertical="center"/>
    </xf>
    <xf numFmtId="176" fontId="1" fillId="0" borderId="9" xfId="0" applyNumberFormat="1" applyFont="1" applyBorder="1" applyAlignment="1" applyProtection="1">
      <alignment horizontal="left" vertical="center"/>
    </xf>
    <xf numFmtId="3" fontId="5" fillId="0" borderId="9" xfId="0" applyNumberFormat="1" applyFont="1" applyBorder="1" applyAlignment="1" applyProtection="1">
      <alignment horizontal="right" vertical="center"/>
    </xf>
    <xf numFmtId="176" fontId="1" fillId="0" borderId="0" xfId="0" applyNumberFormat="1" applyFont="1" applyBorder="1" applyAlignment="1" applyProtection="1">
      <alignment vertical="center"/>
    </xf>
    <xf numFmtId="3" fontId="5" fillId="0" borderId="12" xfId="0" applyNumberFormat="1" applyFont="1" applyBorder="1" applyAlignment="1" applyProtection="1">
      <alignment vertical="center"/>
    </xf>
    <xf numFmtId="176" fontId="1" fillId="0" borderId="0" xfId="0" applyNumberFormat="1" applyFont="1" applyBorder="1" applyAlignment="1" applyProtection="1">
      <alignment horizontal="centerContinuous" vertical="center"/>
    </xf>
    <xf numFmtId="1" fontId="5" fillId="0" borderId="0" xfId="0" applyNumberFormat="1" applyFont="1" applyBorder="1" applyAlignment="1" applyProtection="1">
      <alignment horizontal="centerContinuous" vertical="center"/>
    </xf>
    <xf numFmtId="178" fontId="5" fillId="0" borderId="0" xfId="0" applyNumberFormat="1" applyFont="1" applyBorder="1" applyAlignment="1" applyProtection="1">
      <alignment vertical="center"/>
    </xf>
    <xf numFmtId="178" fontId="5" fillId="0" borderId="12" xfId="0" applyNumberFormat="1" applyFont="1" applyBorder="1" applyAlignment="1" applyProtection="1">
      <alignment vertical="center"/>
    </xf>
    <xf numFmtId="176" fontId="1" fillId="0" borderId="9" xfId="0" applyNumberFormat="1" applyFont="1" applyBorder="1" applyAlignment="1" applyProtection="1">
      <alignment horizontal="centerContinuous" vertical="center"/>
    </xf>
    <xf numFmtId="1" fontId="5" fillId="0" borderId="9" xfId="0" applyNumberFormat="1" applyFont="1" applyBorder="1" applyAlignment="1" applyProtection="1">
      <alignment horizontal="centerContinuous" vertical="center"/>
    </xf>
    <xf numFmtId="176" fontId="5" fillId="0" borderId="0" xfId="0" applyNumberFormat="1" applyFont="1" applyBorder="1" applyAlignment="1" applyProtection="1">
      <alignment vertical="center"/>
    </xf>
    <xf numFmtId="0" fontId="3" fillId="0" borderId="17" xfId="0" applyFont="1" applyBorder="1" applyAlignment="1" applyProtection="1">
      <alignment horizontal="left" vertical="center" wrapText="1"/>
    </xf>
    <xf numFmtId="0" fontId="9" fillId="2" borderId="1" xfId="0" applyFont="1" applyFill="1" applyBorder="1" applyAlignment="1">
      <alignment horizontal="center" vertical="center" wrapText="1"/>
    </xf>
    <xf numFmtId="0" fontId="1" fillId="0" borderId="0" xfId="0" applyFont="1" applyAlignment="1">
      <alignment horizontal="left" vertical="center"/>
    </xf>
    <xf numFmtId="0" fontId="7" fillId="0" borderId="0" xfId="0" applyFont="1" applyAlignment="1" applyProtection="1">
      <alignment vertical="center"/>
    </xf>
    <xf numFmtId="0" fontId="1" fillId="0" borderId="18" xfId="0" applyFont="1" applyBorder="1" applyAlignment="1" applyProtection="1">
      <alignment vertical="center"/>
    </xf>
    <xf numFmtId="1" fontId="7" fillId="0" borderId="19" xfId="0" applyNumberFormat="1" applyFont="1" applyBorder="1" applyAlignment="1" applyProtection="1">
      <alignment vertical="center"/>
    </xf>
    <xf numFmtId="0" fontId="1" fillId="0" borderId="20" xfId="0" applyFont="1" applyBorder="1" applyAlignment="1" applyProtection="1">
      <alignment horizontal="left" vertical="center"/>
    </xf>
    <xf numFmtId="0" fontId="1" fillId="0" borderId="21" xfId="0" applyFont="1" applyBorder="1" applyAlignment="1" applyProtection="1">
      <alignment horizontal="left" vertical="center" wrapText="1"/>
    </xf>
    <xf numFmtId="1" fontId="5" fillId="0" borderId="22" xfId="0" applyNumberFormat="1" applyFont="1" applyBorder="1" applyAlignment="1" applyProtection="1">
      <alignment horizontal="center" vertical="center"/>
      <protection locked="0"/>
    </xf>
    <xf numFmtId="0" fontId="6" fillId="0" borderId="6" xfId="0" applyFont="1" applyBorder="1" applyAlignment="1" applyProtection="1">
      <alignment horizontal="center" vertical="center" wrapText="1"/>
    </xf>
    <xf numFmtId="0" fontId="6" fillId="0" borderId="21" xfId="0" applyFont="1" applyBorder="1" applyAlignment="1" applyProtection="1">
      <alignment horizontal="center" vertical="center"/>
    </xf>
    <xf numFmtId="1" fontId="1" fillId="0" borderId="23" xfId="0" applyNumberFormat="1" applyFont="1" applyBorder="1" applyAlignment="1" applyProtection="1">
      <alignment vertical="center" wrapText="1"/>
    </xf>
    <xf numFmtId="1" fontId="1" fillId="0" borderId="0" xfId="0" applyNumberFormat="1" applyFont="1" applyBorder="1" applyAlignment="1" applyProtection="1">
      <alignment vertical="center" wrapText="1"/>
    </xf>
    <xf numFmtId="0" fontId="1" fillId="0" borderId="0" xfId="0" applyFont="1" applyBorder="1" applyAlignment="1" applyProtection="1">
      <alignment horizontal="centerContinuous" vertical="center"/>
    </xf>
    <xf numFmtId="0" fontId="5" fillId="0" borderId="22" xfId="0" applyFont="1" applyBorder="1" applyAlignment="1" applyProtection="1">
      <alignment horizontal="center" vertical="center"/>
      <protection locked="0"/>
    </xf>
    <xf numFmtId="1" fontId="1" fillId="0" borderId="24" xfId="0" applyNumberFormat="1" applyFont="1" applyBorder="1" applyAlignment="1" applyProtection="1">
      <alignment vertical="center"/>
    </xf>
    <xf numFmtId="0" fontId="1" fillId="0" borderId="25" xfId="0" applyFont="1" applyBorder="1" applyAlignment="1" applyProtection="1">
      <alignment horizontal="left" vertical="center" wrapText="1"/>
    </xf>
    <xf numFmtId="0" fontId="1" fillId="0" borderId="21" xfId="0" applyFont="1" applyBorder="1" applyAlignment="1" applyProtection="1">
      <alignment horizontal="left" vertical="center"/>
    </xf>
    <xf numFmtId="0" fontId="5" fillId="0" borderId="26" xfId="0" applyNumberFormat="1" applyFont="1" applyBorder="1" applyAlignment="1" applyProtection="1">
      <alignment horizontal="center" vertical="center"/>
      <protection locked="0"/>
    </xf>
    <xf numFmtId="0" fontId="5" fillId="0" borderId="6" xfId="0" applyFont="1" applyBorder="1" applyAlignment="1" applyProtection="1">
      <alignment horizontal="left" vertical="center" wrapText="1"/>
    </xf>
    <xf numFmtId="0" fontId="5" fillId="0" borderId="21" xfId="0" applyFont="1" applyBorder="1" applyAlignment="1" applyProtection="1">
      <alignment horizontal="left" vertical="center"/>
    </xf>
    <xf numFmtId="1" fontId="1" fillId="0" borderId="23" xfId="0" applyNumberFormat="1" applyFont="1" applyBorder="1" applyAlignment="1" applyProtection="1">
      <alignment vertical="center"/>
    </xf>
    <xf numFmtId="0" fontId="6" fillId="0" borderId="0" xfId="0" applyFont="1" applyBorder="1" applyAlignment="1" applyProtection="1">
      <alignment horizontal="center" vertical="center" wrapText="1"/>
    </xf>
    <xf numFmtId="0" fontId="6" fillId="0" borderId="27" xfId="0" applyFont="1" applyBorder="1" applyAlignment="1" applyProtection="1">
      <alignment horizontal="left" vertical="center" wrapText="1"/>
    </xf>
    <xf numFmtId="0" fontId="5" fillId="0" borderId="21" xfId="0" applyFont="1" applyBorder="1" applyAlignment="1" applyProtection="1">
      <alignment horizontal="center" vertical="center"/>
    </xf>
    <xf numFmtId="0" fontId="1" fillId="0" borderId="7" xfId="0" applyFont="1" applyBorder="1" applyAlignment="1">
      <alignment horizontal="left" vertical="center" wrapText="1"/>
    </xf>
    <xf numFmtId="0" fontId="1" fillId="0" borderId="28" xfId="0" applyFont="1" applyBorder="1" applyAlignment="1">
      <alignment horizontal="left" vertical="center" wrapText="1"/>
    </xf>
    <xf numFmtId="0" fontId="5" fillId="0" borderId="14" xfId="0" applyFont="1" applyBorder="1" applyAlignment="1" applyProtection="1">
      <alignment horizontal="center" vertical="center"/>
    </xf>
    <xf numFmtId="176" fontId="1" fillId="0" borderId="14" xfId="0" applyNumberFormat="1" applyFont="1" applyBorder="1" applyAlignment="1" applyProtection="1">
      <alignment vertical="center"/>
    </xf>
    <xf numFmtId="0" fontId="1" fillId="0" borderId="29" xfId="0" applyFont="1" applyBorder="1" applyAlignment="1" applyProtection="1">
      <alignment vertical="center"/>
    </xf>
    <xf numFmtId="0" fontId="5" fillId="0" borderId="5" xfId="0" applyFont="1" applyBorder="1" applyAlignment="1" applyProtection="1">
      <alignment horizontal="center" vertical="center"/>
    </xf>
    <xf numFmtId="176" fontId="1" fillId="0" borderId="5" xfId="0" applyNumberFormat="1" applyFont="1" applyBorder="1" applyAlignment="1" applyProtection="1">
      <alignment vertical="center"/>
    </xf>
    <xf numFmtId="176" fontId="1" fillId="0" borderId="0" xfId="0" applyNumberFormat="1" applyFont="1" applyFill="1" applyBorder="1" applyAlignment="1" applyProtection="1">
      <alignment horizontal="left" vertical="center"/>
    </xf>
    <xf numFmtId="3" fontId="1" fillId="0" borderId="5" xfId="0" applyNumberFormat="1"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3" fontId="1" fillId="0" borderId="0" xfId="0" applyNumberFormat="1" applyFont="1" applyBorder="1" applyAlignment="1" applyProtection="1">
      <alignment horizontal="center" vertical="center"/>
    </xf>
    <xf numFmtId="0" fontId="1" fillId="0" borderId="21" xfId="0" applyFont="1" applyBorder="1" applyAlignment="1" applyProtection="1">
      <alignment vertical="center"/>
    </xf>
    <xf numFmtId="0" fontId="5" fillId="0" borderId="0" xfId="0" applyFont="1" applyBorder="1" applyAlignment="1" applyProtection="1">
      <alignment horizontal="right" vertical="center"/>
    </xf>
    <xf numFmtId="176" fontId="1" fillId="0" borderId="25" xfId="0" applyNumberFormat="1" applyFont="1" applyBorder="1" applyAlignment="1" applyProtection="1">
      <alignment horizontal="left" vertical="center"/>
    </xf>
    <xf numFmtId="1" fontId="1" fillId="0" borderId="30" xfId="0" applyNumberFormat="1" applyFont="1" applyBorder="1" applyAlignment="1" applyProtection="1">
      <alignment vertical="center"/>
    </xf>
    <xf numFmtId="176" fontId="1" fillId="0" borderId="30" xfId="0" applyNumberFormat="1" applyFont="1" applyBorder="1" applyAlignment="1" applyProtection="1">
      <alignment horizontal="left" vertical="center"/>
    </xf>
    <xf numFmtId="0" fontId="1" fillId="0" borderId="0" xfId="0" applyNumberFormat="1" applyFont="1" applyBorder="1" applyAlignment="1" applyProtection="1">
      <alignment vertical="center"/>
    </xf>
    <xf numFmtId="1" fontId="7" fillId="0" borderId="19" xfId="0" applyNumberFormat="1" applyFont="1" applyFill="1" applyBorder="1" applyAlignment="1" applyProtection="1">
      <alignment vertical="center"/>
    </xf>
    <xf numFmtId="178" fontId="1" fillId="0" borderId="0" xfId="0" applyNumberFormat="1" applyFont="1" applyBorder="1" applyAlignment="1" applyProtection="1">
      <alignment vertical="center"/>
    </xf>
    <xf numFmtId="1" fontId="1" fillId="0" borderId="23" xfId="0" applyNumberFormat="1" applyFont="1" applyFill="1" applyBorder="1" applyAlignment="1" applyProtection="1">
      <alignment vertical="center"/>
    </xf>
    <xf numFmtId="0" fontId="1" fillId="0" borderId="31" xfId="0" applyFont="1" applyBorder="1" applyAlignment="1" applyProtection="1">
      <alignment vertical="center"/>
    </xf>
    <xf numFmtId="1" fontId="5" fillId="0" borderId="0" xfId="0" applyNumberFormat="1" applyFont="1" applyBorder="1" applyAlignment="1" applyProtection="1">
      <alignment vertical="center"/>
    </xf>
    <xf numFmtId="176" fontId="1" fillId="0" borderId="12" xfId="0" applyNumberFormat="1" applyFont="1" applyBorder="1" applyAlignment="1" applyProtection="1">
      <alignment vertical="center"/>
    </xf>
    <xf numFmtId="1" fontId="5" fillId="0" borderId="12" xfId="0" applyNumberFormat="1" applyFont="1" applyBorder="1" applyAlignment="1" applyProtection="1">
      <alignment vertical="center"/>
    </xf>
    <xf numFmtId="3" fontId="5" fillId="0" borderId="9" xfId="0" applyNumberFormat="1" applyFont="1" applyBorder="1" applyAlignment="1" applyProtection="1">
      <alignment vertical="center"/>
    </xf>
    <xf numFmtId="176" fontId="1" fillId="0" borderId="9" xfId="0" applyNumberFormat="1" applyFont="1" applyBorder="1" applyAlignment="1" applyProtection="1">
      <alignment vertical="center"/>
    </xf>
    <xf numFmtId="1" fontId="5" fillId="0" borderId="9" xfId="0" applyNumberFormat="1" applyFont="1" applyBorder="1" applyAlignment="1" applyProtection="1">
      <alignment vertical="center"/>
    </xf>
    <xf numFmtId="0" fontId="1" fillId="0" borderId="32" xfId="0" applyFont="1" applyBorder="1" applyAlignment="1" applyProtection="1">
      <alignment vertical="center"/>
    </xf>
    <xf numFmtId="3" fontId="5" fillId="0" borderId="12" xfId="0" applyNumberFormat="1" applyFont="1" applyBorder="1" applyAlignment="1" applyProtection="1">
      <alignment horizontal="center" vertical="center"/>
    </xf>
    <xf numFmtId="176" fontId="5" fillId="0" borderId="0" xfId="0" applyNumberFormat="1" applyFont="1" applyBorder="1" applyAlignment="1" applyProtection="1">
      <alignment horizontal="centerContinuous" vertical="center"/>
    </xf>
    <xf numFmtId="0" fontId="5" fillId="0" borderId="0" xfId="0" applyFont="1" applyBorder="1" applyAlignment="1" applyProtection="1">
      <alignment horizontal="centerContinuous" vertical="center"/>
    </xf>
    <xf numFmtId="0" fontId="1" fillId="0" borderId="21" xfId="0" applyFont="1" applyBorder="1" applyAlignment="1" applyProtection="1">
      <alignment horizontal="centerContinuous" vertical="center"/>
    </xf>
    <xf numFmtId="179" fontId="5" fillId="0" borderId="0" xfId="0" applyNumberFormat="1" applyFont="1" applyBorder="1" applyAlignment="1" applyProtection="1">
      <alignment horizontal="right" vertical="center"/>
    </xf>
    <xf numFmtId="179" fontId="1" fillId="0" borderId="0" xfId="0" applyNumberFormat="1" applyFont="1" applyBorder="1" applyAlignment="1" applyProtection="1">
      <alignment vertical="center"/>
    </xf>
    <xf numFmtId="179" fontId="5" fillId="0" borderId="12" xfId="0" applyNumberFormat="1" applyFont="1" applyBorder="1" applyAlignment="1" applyProtection="1">
      <alignment horizontal="right" vertical="center"/>
    </xf>
    <xf numFmtId="179" fontId="1" fillId="0" borderId="12" xfId="0" applyNumberFormat="1" applyFont="1" applyBorder="1" applyAlignment="1" applyProtection="1">
      <alignment vertical="center"/>
    </xf>
    <xf numFmtId="0" fontId="1" fillId="0" borderId="31" xfId="0" applyFont="1" applyBorder="1" applyAlignment="1" applyProtection="1">
      <alignment horizontal="left" vertical="center"/>
    </xf>
    <xf numFmtId="179" fontId="5" fillId="0" borderId="9" xfId="0" applyNumberFormat="1" applyFont="1" applyBorder="1" applyAlignment="1" applyProtection="1">
      <alignment horizontal="centerContinuous" vertical="center"/>
    </xf>
    <xf numFmtId="179" fontId="1" fillId="0" borderId="9" xfId="0" applyNumberFormat="1" applyFont="1" applyBorder="1" applyAlignment="1" applyProtection="1">
      <alignment horizontal="centerContinuous" vertical="center"/>
    </xf>
    <xf numFmtId="0" fontId="1" fillId="0" borderId="32" xfId="0" applyFont="1" applyBorder="1" applyAlignment="1" applyProtection="1">
      <alignment horizontal="centerContinuous" vertical="center"/>
    </xf>
    <xf numFmtId="0" fontId="1" fillId="0" borderId="33" xfId="0" applyFont="1" applyBorder="1" applyAlignment="1" applyProtection="1">
      <alignment horizontal="center" vertical="center"/>
    </xf>
    <xf numFmtId="0" fontId="1" fillId="0" borderId="20" xfId="0" applyFont="1" applyBorder="1" applyAlignment="1" applyProtection="1">
      <alignment vertical="center"/>
    </xf>
    <xf numFmtId="176" fontId="1" fillId="0" borderId="34" xfId="0" applyNumberFormat="1" applyFont="1" applyBorder="1" applyAlignment="1" applyProtection="1">
      <alignment horizontal="center" vertical="center"/>
    </xf>
    <xf numFmtId="1" fontId="1" fillId="0" borderId="0" xfId="0" applyNumberFormat="1" applyFont="1" applyBorder="1" applyAlignment="1" applyProtection="1">
      <alignment vertical="center"/>
    </xf>
    <xf numFmtId="0" fontId="1" fillId="0" borderId="25" xfId="0" applyFont="1" applyBorder="1" applyAlignment="1" applyProtection="1">
      <alignment vertical="center"/>
    </xf>
    <xf numFmtId="176" fontId="1" fillId="0" borderId="35" xfId="0" applyNumberFormat="1" applyFont="1" applyBorder="1" applyAlignment="1" applyProtection="1">
      <alignment horizontal="center" vertical="center"/>
    </xf>
    <xf numFmtId="1" fontId="7" fillId="0" borderId="23" xfId="0" applyNumberFormat="1" applyFont="1" applyBorder="1" applyAlignment="1" applyProtection="1">
      <alignment vertical="center"/>
    </xf>
    <xf numFmtId="0" fontId="1" fillId="0" borderId="34" xfId="0" applyFont="1" applyBorder="1" applyAlignment="1" applyProtection="1">
      <alignment horizontal="center" vertical="center"/>
    </xf>
    <xf numFmtId="3" fontId="1" fillId="0" borderId="34" xfId="0" applyNumberFormat="1" applyFont="1" applyBorder="1" applyAlignment="1" applyProtection="1">
      <alignment horizontal="center" vertical="center"/>
    </xf>
    <xf numFmtId="2" fontId="1" fillId="0" borderId="34" xfId="0" applyNumberFormat="1" applyFont="1" applyBorder="1" applyAlignment="1" applyProtection="1">
      <alignment horizontal="center" vertical="center"/>
    </xf>
    <xf numFmtId="0" fontId="1" fillId="0" borderId="0" xfId="0" applyFont="1" applyFill="1" applyBorder="1" applyAlignment="1" applyProtection="1">
      <alignment vertical="center"/>
    </xf>
    <xf numFmtId="177" fontId="1" fillId="0" borderId="35" xfId="0" applyNumberFormat="1" applyFont="1" applyBorder="1" applyAlignment="1" applyProtection="1">
      <alignment horizontal="center" vertical="center"/>
    </xf>
    <xf numFmtId="177" fontId="1" fillId="0" borderId="30" xfId="0" applyNumberFormat="1" applyFont="1" applyBorder="1" applyAlignment="1" applyProtection="1">
      <alignment horizontal="center" vertical="center"/>
    </xf>
    <xf numFmtId="1" fontId="1" fillId="0" borderId="23" xfId="0" applyNumberFormat="1" applyFont="1" applyBorder="1" applyAlignment="1" applyProtection="1">
      <alignment horizontal="right" vertical="center"/>
    </xf>
    <xf numFmtId="178" fontId="1" fillId="0" borderId="34" xfId="0" applyNumberFormat="1" applyFont="1" applyBorder="1" applyAlignment="1" applyProtection="1">
      <alignment horizontal="center" vertical="center"/>
    </xf>
    <xf numFmtId="1" fontId="1" fillId="0" borderId="34" xfId="0" applyNumberFormat="1" applyFont="1" applyBorder="1" applyAlignment="1" applyProtection="1">
      <alignment horizontal="center" vertical="center"/>
    </xf>
    <xf numFmtId="0" fontId="1" fillId="0" borderId="35" xfId="0" applyFont="1" applyBorder="1" applyAlignment="1" applyProtection="1">
      <alignment horizontal="center" vertical="center"/>
    </xf>
    <xf numFmtId="177" fontId="1" fillId="0" borderId="34" xfId="0" applyNumberFormat="1" applyFont="1" applyBorder="1" applyAlignment="1" applyProtection="1">
      <alignment horizontal="center" vertical="center"/>
    </xf>
    <xf numFmtId="0" fontId="7" fillId="0" borderId="19" xfId="0" applyFont="1" applyBorder="1" applyAlignment="1" applyProtection="1">
      <alignment horizontal="left" vertical="center"/>
    </xf>
    <xf numFmtId="0" fontId="1" fillId="0" borderId="33" xfId="0" applyFont="1" applyBorder="1" applyAlignment="1" applyProtection="1">
      <alignment vertical="center"/>
    </xf>
    <xf numFmtId="0" fontId="1" fillId="0" borderId="23" xfId="0" applyFont="1" applyBorder="1" applyAlignment="1" applyProtection="1">
      <alignment horizontal="center" vertical="center"/>
    </xf>
    <xf numFmtId="0" fontId="1" fillId="0" borderId="34" xfId="0" applyFont="1" applyBorder="1" applyAlignment="1" applyProtection="1">
      <alignment vertical="center"/>
    </xf>
    <xf numFmtId="0" fontId="5" fillId="0" borderId="23" xfId="0" applyFont="1" applyBorder="1" applyAlignment="1" applyProtection="1">
      <alignment horizontal="left" vertical="center"/>
    </xf>
    <xf numFmtId="0" fontId="1" fillId="0" borderId="23" xfId="0" applyFont="1" applyBorder="1" applyAlignment="1" applyProtection="1">
      <alignment vertical="center" wrapText="1"/>
    </xf>
    <xf numFmtId="0" fontId="1" fillId="0" borderId="34" xfId="0" applyFont="1" applyBorder="1" applyAlignment="1">
      <alignment vertical="center"/>
    </xf>
    <xf numFmtId="0" fontId="1" fillId="0" borderId="23" xfId="0" applyFont="1" applyBorder="1" applyAlignment="1">
      <alignment vertical="center"/>
    </xf>
    <xf numFmtId="0" fontId="1" fillId="0" borderId="24" xfId="0" applyFont="1" applyBorder="1" applyAlignment="1">
      <alignment vertical="center"/>
    </xf>
    <xf numFmtId="0" fontId="1" fillId="0" borderId="25" xfId="0" applyFont="1" applyBorder="1" applyAlignment="1">
      <alignment vertical="center"/>
    </xf>
    <xf numFmtId="0" fontId="1" fillId="0" borderId="35" xfId="0" applyFont="1" applyBorder="1" applyAlignment="1">
      <alignment vertical="center"/>
    </xf>
    <xf numFmtId="0" fontId="1" fillId="0" borderId="0" xfId="0" applyFont="1"/>
    <xf numFmtId="0" fontId="10" fillId="0" borderId="14" xfId="0" applyFont="1" applyBorder="1" applyAlignment="1" applyProtection="1">
      <alignment horizontal="center" vertical="center"/>
    </xf>
    <xf numFmtId="176" fontId="5" fillId="0" borderId="14" xfId="0" applyNumberFormat="1" applyFont="1" applyBorder="1" applyAlignment="1" applyProtection="1">
      <alignment horizontal="center" vertical="center"/>
    </xf>
    <xf numFmtId="0" fontId="1" fillId="0" borderId="14" xfId="0" applyFont="1" applyBorder="1" applyAlignment="1" applyProtection="1">
      <alignment horizontal="left" vertical="center"/>
    </xf>
    <xf numFmtId="0" fontId="5" fillId="0" borderId="0" xfId="0" applyFont="1" applyBorder="1" applyAlignment="1" applyProtection="1">
      <alignment horizontal="left" vertical="center"/>
    </xf>
    <xf numFmtId="0" fontId="10" fillId="0" borderId="0" xfId="0" applyFont="1" applyBorder="1" applyAlignment="1" applyProtection="1">
      <alignment horizontal="center" vertical="center"/>
    </xf>
    <xf numFmtId="0" fontId="5" fillId="0" borderId="0" xfId="0" applyFont="1" applyAlignment="1" applyProtection="1">
      <alignment horizontal="left" vertical="center"/>
    </xf>
    <xf numFmtId="0" fontId="7" fillId="0" borderId="4" xfId="0" applyFont="1" applyBorder="1" applyAlignment="1" applyProtection="1">
      <alignment horizontal="center" vertical="center"/>
    </xf>
    <xf numFmtId="0" fontId="7" fillId="0" borderId="6" xfId="0" applyFont="1" applyBorder="1" applyAlignment="1" applyProtection="1">
      <alignment horizontal="center" vertical="center"/>
    </xf>
    <xf numFmtId="0" fontId="1" fillId="0" borderId="6" xfId="0" applyFont="1" applyBorder="1" applyAlignment="1" applyProtection="1">
      <alignment horizontal="center" vertical="center"/>
    </xf>
    <xf numFmtId="0" fontId="5" fillId="0" borderId="0" xfId="0" applyFont="1" applyAlignment="1" applyProtection="1">
      <alignment horizontal="center" vertical="center"/>
    </xf>
    <xf numFmtId="0" fontId="1" fillId="0" borderId="0" xfId="0" applyFont="1" applyBorder="1" applyAlignment="1" applyProtection="1">
      <alignment horizontal="right" vertical="center"/>
    </xf>
    <xf numFmtId="0" fontId="1" fillId="0" borderId="25" xfId="0" applyFont="1" applyBorder="1" applyAlignment="1" applyProtection="1">
      <alignment horizontal="left" vertical="center"/>
    </xf>
    <xf numFmtId="0" fontId="5" fillId="0" borderId="0" xfId="0" applyFont="1" applyBorder="1" applyAlignment="1" applyProtection="1">
      <alignment horizontal="center" vertical="center" wrapText="1"/>
    </xf>
    <xf numFmtId="0" fontId="5" fillId="0" borderId="22" xfId="0" applyFont="1" applyBorder="1" applyAlignment="1" applyProtection="1">
      <alignment horizontal="center" vertical="center"/>
    </xf>
    <xf numFmtId="1" fontId="5" fillId="0" borderId="22" xfId="0" applyNumberFormat="1" applyFont="1" applyBorder="1" applyAlignment="1" applyProtection="1">
      <alignment horizontal="center" vertical="center"/>
    </xf>
    <xf numFmtId="1" fontId="5" fillId="0" borderId="0" xfId="0" applyNumberFormat="1" applyFont="1" applyBorder="1" applyAlignment="1" applyProtection="1">
      <alignment horizontal="center" vertical="center"/>
    </xf>
    <xf numFmtId="1" fontId="1" fillId="0" borderId="0" xfId="0" applyNumberFormat="1" applyFont="1" applyBorder="1" applyAlignment="1" applyProtection="1">
      <alignment horizontal="center" vertical="center"/>
    </xf>
    <xf numFmtId="176" fontId="5" fillId="0" borderId="22" xfId="0" applyNumberFormat="1" applyFont="1" applyBorder="1" applyAlignment="1" applyProtection="1">
      <alignment horizontal="center" vertical="center"/>
    </xf>
    <xf numFmtId="0" fontId="5" fillId="0" borderId="0" xfId="0" applyFont="1" applyAlignment="1" applyProtection="1">
      <alignment vertical="center"/>
    </xf>
    <xf numFmtId="38" fontId="5" fillId="0" borderId="22" xfId="0" applyNumberFormat="1" applyFont="1" applyBorder="1" applyAlignment="1" applyProtection="1">
      <alignment horizontal="center" vertical="center"/>
    </xf>
    <xf numFmtId="3" fontId="5" fillId="0" borderId="22" xfId="0" applyNumberFormat="1" applyFont="1" applyBorder="1" applyAlignment="1" applyProtection="1">
      <alignment horizontal="center" vertical="center"/>
    </xf>
    <xf numFmtId="38" fontId="5" fillId="0" borderId="36" xfId="0" applyNumberFormat="1" applyFont="1" applyBorder="1" applyAlignment="1" applyProtection="1">
      <alignment horizontal="center" vertical="center"/>
    </xf>
    <xf numFmtId="38" fontId="5" fillId="0" borderId="5" xfId="0" applyNumberFormat="1" applyFont="1" applyBorder="1" applyAlignment="1" applyProtection="1">
      <alignment horizontal="center" vertical="center"/>
    </xf>
    <xf numFmtId="38" fontId="5" fillId="0" borderId="0" xfId="0" applyNumberFormat="1" applyFont="1" applyBorder="1" applyAlignment="1" applyProtection="1">
      <alignment horizontal="center" vertical="center"/>
    </xf>
    <xf numFmtId="0" fontId="1" fillId="0" borderId="0" xfId="0" applyNumberFormat="1" applyFont="1" applyAlignment="1" applyProtection="1">
      <alignment horizontal="center" vertical="center"/>
    </xf>
    <xf numFmtId="0" fontId="7" fillId="0" borderId="0" xfId="0" applyFont="1" applyBorder="1" applyAlignment="1" applyProtection="1">
      <alignment vertical="center"/>
    </xf>
    <xf numFmtId="0" fontId="5" fillId="0" borderId="37" xfId="0" applyFont="1" applyBorder="1" applyAlignment="1" applyProtection="1">
      <alignment horizontal="center" vertical="center"/>
    </xf>
    <xf numFmtId="20" fontId="1" fillId="0" borderId="38" xfId="0" applyNumberFormat="1" applyFont="1" applyBorder="1" applyAlignment="1" applyProtection="1">
      <alignment vertical="center"/>
    </xf>
    <xf numFmtId="0" fontId="1" fillId="0" borderId="39" xfId="0" applyFont="1" applyBorder="1" applyAlignment="1" applyProtection="1">
      <alignment horizontal="center" vertical="center"/>
    </xf>
    <xf numFmtId="0" fontId="5" fillId="0" borderId="40" xfId="0" applyFont="1" applyBorder="1" applyAlignment="1" applyProtection="1">
      <alignment horizontal="center" vertical="center"/>
    </xf>
    <xf numFmtId="0" fontId="5" fillId="0" borderId="41" xfId="0" applyFont="1" applyBorder="1" applyAlignment="1" applyProtection="1">
      <alignment horizontal="center" vertical="center"/>
    </xf>
    <xf numFmtId="0" fontId="1" fillId="0" borderId="42" xfId="0" applyFont="1" applyBorder="1" applyAlignment="1" applyProtection="1">
      <alignment vertical="center"/>
    </xf>
    <xf numFmtId="0" fontId="1" fillId="0" borderId="43"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45" xfId="0" applyFont="1" applyBorder="1" applyAlignment="1" applyProtection="1">
      <alignment horizontal="center" vertical="center"/>
    </xf>
    <xf numFmtId="20" fontId="1" fillId="0" borderId="0" xfId="0" applyNumberFormat="1" applyFont="1" applyBorder="1" applyAlignment="1" applyProtection="1">
      <alignment horizontal="center" vertical="center"/>
    </xf>
    <xf numFmtId="0" fontId="1" fillId="0" borderId="46" xfId="0" applyFont="1" applyBorder="1" applyAlignment="1" applyProtection="1">
      <alignment horizontal="center" vertical="center"/>
    </xf>
    <xf numFmtId="0" fontId="1" fillId="0" borderId="47" xfId="0" applyFont="1" applyBorder="1" applyAlignment="1" applyProtection="1">
      <alignment horizontal="center" vertical="center"/>
    </xf>
    <xf numFmtId="20" fontId="1" fillId="0" borderId="42" xfId="0" applyNumberFormat="1" applyFont="1" applyBorder="1" applyAlignment="1" applyProtection="1">
      <alignment vertical="center"/>
    </xf>
    <xf numFmtId="20" fontId="1" fillId="0" borderId="48" xfId="0" applyNumberFormat="1" applyFont="1" applyBorder="1" applyAlignment="1" applyProtection="1">
      <alignment vertical="center"/>
    </xf>
    <xf numFmtId="0" fontId="1" fillId="0" borderId="49" xfId="0" applyFont="1" applyBorder="1" applyAlignment="1" applyProtection="1">
      <alignment horizontal="center" vertical="center"/>
    </xf>
    <xf numFmtId="0" fontId="1" fillId="0" borderId="13" xfId="0" applyFont="1" applyBorder="1" applyAlignment="1" applyProtection="1">
      <alignment horizontal="center" vertical="center"/>
    </xf>
    <xf numFmtId="20" fontId="1" fillId="0" borderId="14" xfId="0" applyNumberFormat="1" applyFont="1" applyBorder="1" applyAlignment="1" applyProtection="1">
      <alignment horizontal="center" vertical="center"/>
    </xf>
    <xf numFmtId="0" fontId="5" fillId="0" borderId="50" xfId="0" applyFont="1" applyBorder="1" applyAlignment="1" applyProtection="1">
      <alignment vertical="center"/>
    </xf>
    <xf numFmtId="0" fontId="1" fillId="0" borderId="30" xfId="0" applyFont="1" applyBorder="1" applyAlignment="1" applyProtection="1">
      <alignment vertical="center"/>
    </xf>
    <xf numFmtId="0" fontId="1" fillId="0" borderId="51" xfId="0" applyFont="1" applyBorder="1" applyAlignment="1" applyProtection="1">
      <alignment horizontal="center" vertical="center"/>
    </xf>
    <xf numFmtId="0" fontId="1" fillId="0" borderId="52" xfId="0" applyFont="1" applyBorder="1" applyAlignment="1" applyProtection="1">
      <alignment vertical="center"/>
    </xf>
    <xf numFmtId="0" fontId="1" fillId="0" borderId="53" xfId="0" applyFont="1" applyBorder="1" applyAlignment="1" applyProtection="1">
      <alignment vertical="center"/>
    </xf>
    <xf numFmtId="0" fontId="1" fillId="0" borderId="54" xfId="0" applyFont="1" applyBorder="1" applyAlignment="1" applyProtection="1">
      <alignment vertical="center"/>
    </xf>
    <xf numFmtId="0" fontId="1" fillId="0" borderId="55" xfId="0" applyFont="1" applyBorder="1" applyAlignment="1" applyProtection="1">
      <alignment vertical="center"/>
    </xf>
    <xf numFmtId="1" fontId="1" fillId="0" borderId="0" xfId="0" applyNumberFormat="1" applyFont="1" applyBorder="1" applyAlignment="1" applyProtection="1">
      <alignment horizontal="right" vertical="center"/>
    </xf>
    <xf numFmtId="176" fontId="1" fillId="0" borderId="0" xfId="0" applyNumberFormat="1" applyFont="1" applyBorder="1" applyAlignment="1" applyProtection="1">
      <alignment horizontal="right" vertical="center"/>
    </xf>
    <xf numFmtId="20" fontId="1" fillId="0" borderId="38" xfId="0" applyNumberFormat="1" applyFont="1" applyBorder="1" applyAlignment="1" applyProtection="1" quotePrefix="1">
      <alignment vertical="center"/>
    </xf>
    <xf numFmtId="0" fontId="1" fillId="0" borderId="42" xfId="0" applyFont="1" applyBorder="1" applyAlignment="1" applyProtection="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423"/>
  <sheetViews>
    <sheetView tabSelected="1" zoomScale="70" zoomScaleNormal="70" workbookViewId="0">
      <selection activeCell="G150" sqref="G150"/>
    </sheetView>
  </sheetViews>
  <sheetFormatPr defaultColWidth="9" defaultRowHeight="16.5"/>
  <cols>
    <col min="1" max="1" width="3.75" style="1" customWidth="1"/>
    <col min="2" max="2" width="25.8833333333333" style="2" customWidth="1"/>
    <col min="3" max="3" width="13.75" style="2" customWidth="1"/>
    <col min="4" max="4" width="21.0666666666667" style="1" customWidth="1"/>
    <col min="5" max="5" width="18.5666666666667" style="2" customWidth="1"/>
    <col min="6" max="6" width="12.5833333333333" style="2" customWidth="1"/>
    <col min="7" max="9" width="12.5833333333333" style="1" customWidth="1"/>
    <col min="10" max="11" width="13.75" style="1" customWidth="1"/>
    <col min="12" max="12" width="41.425" style="1" customWidth="1"/>
    <col min="13" max="13" width="13.75" style="1" customWidth="1"/>
    <col min="14" max="14" width="5.875" style="1" customWidth="1"/>
    <col min="15" max="15" width="5.875" style="3" customWidth="1"/>
    <col min="16" max="16" width="30.375" style="4" customWidth="1"/>
    <col min="17" max="17" width="17.25" style="2" customWidth="1"/>
    <col min="18" max="18" width="5.875" style="5" customWidth="1"/>
    <col min="19" max="19" width="5.875" style="6" customWidth="1"/>
    <col min="20" max="20" width="30.375" style="1" customWidth="1"/>
    <col min="21" max="21" width="17.25" style="1" customWidth="1"/>
    <col min="22" max="22" width="5.875" style="1" customWidth="1"/>
    <col min="23" max="23" width="5.875" style="3" customWidth="1"/>
    <col min="24" max="24" width="30.375" style="1" customWidth="1"/>
    <col min="25" max="25" width="17.25" style="1" customWidth="1"/>
    <col min="26" max="27" width="5.875" style="1" customWidth="1"/>
    <col min="28" max="28" width="49.125" style="1" customWidth="1"/>
    <col min="29" max="29" width="8.375" style="1" customWidth="1"/>
    <col min="30" max="30" width="12.375" style="1" customWidth="1"/>
    <col min="31" max="31" width="14.375" style="2" customWidth="1"/>
    <col min="32" max="32" width="5.875" style="1" customWidth="1"/>
    <col min="33" max="33" width="8.375" style="1" customWidth="1"/>
    <col min="34" max="34" width="5.875" style="1" customWidth="1"/>
    <col min="35" max="35" width="11.125" style="1" customWidth="1"/>
    <col min="36" max="40" width="5.875" style="1" customWidth="1"/>
    <col min="41" max="41" width="8.875" style="1" customWidth="1"/>
    <col min="42" max="42" width="8.625" style="1" customWidth="1"/>
    <col min="43" max="43" width="10.625" style="1" customWidth="1"/>
    <col min="44" max="44" width="5.875" style="1" customWidth="1"/>
    <col min="45" max="45" width="7.875" style="1" customWidth="1"/>
    <col min="46" max="46" width="5.875" style="1" customWidth="1"/>
    <col min="47" max="47" width="8.125" style="1" customWidth="1"/>
    <col min="48" max="52" width="5.875" style="1" customWidth="1"/>
    <col min="53" max="256" width="9" style="1"/>
    <col min="257" max="257" width="3.75" style="1" customWidth="1"/>
    <col min="258" max="258" width="35.625" style="1" customWidth="1"/>
    <col min="259" max="260" width="13.75" style="1" customWidth="1"/>
    <col min="261" max="261" width="29.5" style="1" customWidth="1"/>
    <col min="262" max="262" width="13.75" style="1" customWidth="1"/>
    <col min="263" max="263" width="17.375" style="1" customWidth="1"/>
    <col min="264" max="264" width="16.125" style="1" customWidth="1"/>
    <col min="265" max="267" width="13.75" style="1" customWidth="1"/>
    <col min="268" max="268" width="18.25" style="1" customWidth="1"/>
    <col min="269" max="269" width="13.75" style="1" customWidth="1"/>
    <col min="270" max="271" width="5.875" style="1" customWidth="1"/>
    <col min="272" max="272" width="30.375" style="1" customWidth="1"/>
    <col min="273" max="273" width="17.25" style="1" customWidth="1"/>
    <col min="274" max="275" width="5.875" style="1" customWidth="1"/>
    <col min="276" max="276" width="30.375" style="1" customWidth="1"/>
    <col min="277" max="277" width="17.25" style="1" customWidth="1"/>
    <col min="278" max="279" width="5.875" style="1" customWidth="1"/>
    <col min="280" max="280" width="30.375" style="1" customWidth="1"/>
    <col min="281" max="281" width="17.25" style="1" customWidth="1"/>
    <col min="282" max="283" width="5.875" style="1" customWidth="1"/>
    <col min="284" max="284" width="49.125" style="1" customWidth="1"/>
    <col min="285" max="285" width="8.375" style="1" customWidth="1"/>
    <col min="286" max="286" width="12.375" style="1" customWidth="1"/>
    <col min="287" max="287" width="14.375" style="1" customWidth="1"/>
    <col min="288" max="288" width="5.875" style="1" customWidth="1"/>
    <col min="289" max="289" width="8.375" style="1" customWidth="1"/>
    <col min="290" max="290" width="5.875" style="1" customWidth="1"/>
    <col min="291" max="291" width="11.125" style="1" customWidth="1"/>
    <col min="292" max="296" width="5.875" style="1" customWidth="1"/>
    <col min="297" max="297" width="8.875" style="1" customWidth="1"/>
    <col min="298" max="298" width="8.625" style="1" customWidth="1"/>
    <col min="299" max="299" width="10.625" style="1" customWidth="1"/>
    <col min="300" max="300" width="5.875" style="1" customWidth="1"/>
    <col min="301" max="301" width="7.875" style="1" customWidth="1"/>
    <col min="302" max="302" width="5.875" style="1" customWidth="1"/>
    <col min="303" max="303" width="8.125" style="1" customWidth="1"/>
    <col min="304" max="308" width="5.875" style="1" customWidth="1"/>
    <col min="309" max="512" width="9" style="1"/>
    <col min="513" max="513" width="3.75" style="1" customWidth="1"/>
    <col min="514" max="514" width="35.625" style="1" customWidth="1"/>
    <col min="515" max="516" width="13.75" style="1" customWidth="1"/>
    <col min="517" max="517" width="29.5" style="1" customWidth="1"/>
    <col min="518" max="518" width="13.75" style="1" customWidth="1"/>
    <col min="519" max="519" width="17.375" style="1" customWidth="1"/>
    <col min="520" max="520" width="16.125" style="1" customWidth="1"/>
    <col min="521" max="523" width="13.75" style="1" customWidth="1"/>
    <col min="524" max="524" width="18.25" style="1" customWidth="1"/>
    <col min="525" max="525" width="13.75" style="1" customWidth="1"/>
    <col min="526" max="527" width="5.875" style="1" customWidth="1"/>
    <col min="528" max="528" width="30.375" style="1" customWidth="1"/>
    <col min="529" max="529" width="17.25" style="1" customWidth="1"/>
    <col min="530" max="531" width="5.875" style="1" customWidth="1"/>
    <col min="532" max="532" width="30.375" style="1" customWidth="1"/>
    <col min="533" max="533" width="17.25" style="1" customWidth="1"/>
    <col min="534" max="535" width="5.875" style="1" customWidth="1"/>
    <col min="536" max="536" width="30.375" style="1" customWidth="1"/>
    <col min="537" max="537" width="17.25" style="1" customWidth="1"/>
    <col min="538" max="539" width="5.875" style="1" customWidth="1"/>
    <col min="540" max="540" width="49.125" style="1" customWidth="1"/>
    <col min="541" max="541" width="8.375" style="1" customWidth="1"/>
    <col min="542" max="542" width="12.375" style="1" customWidth="1"/>
    <col min="543" max="543" width="14.375" style="1" customWidth="1"/>
    <col min="544" max="544" width="5.875" style="1" customWidth="1"/>
    <col min="545" max="545" width="8.375" style="1" customWidth="1"/>
    <col min="546" max="546" width="5.875" style="1" customWidth="1"/>
    <col min="547" max="547" width="11.125" style="1" customWidth="1"/>
    <col min="548" max="552" width="5.875" style="1" customWidth="1"/>
    <col min="553" max="553" width="8.875" style="1" customWidth="1"/>
    <col min="554" max="554" width="8.625" style="1" customWidth="1"/>
    <col min="555" max="555" width="10.625" style="1" customWidth="1"/>
    <col min="556" max="556" width="5.875" style="1" customWidth="1"/>
    <col min="557" max="557" width="7.875" style="1" customWidth="1"/>
    <col min="558" max="558" width="5.875" style="1" customWidth="1"/>
    <col min="559" max="559" width="8.125" style="1" customWidth="1"/>
    <col min="560" max="564" width="5.875" style="1" customWidth="1"/>
    <col min="565" max="768" width="9" style="1"/>
    <col min="769" max="769" width="3.75" style="1" customWidth="1"/>
    <col min="770" max="770" width="35.625" style="1" customWidth="1"/>
    <col min="771" max="772" width="13.75" style="1" customWidth="1"/>
    <col min="773" max="773" width="29.5" style="1" customWidth="1"/>
    <col min="774" max="774" width="13.75" style="1" customWidth="1"/>
    <col min="775" max="775" width="17.375" style="1" customWidth="1"/>
    <col min="776" max="776" width="16.125" style="1" customWidth="1"/>
    <col min="777" max="779" width="13.75" style="1" customWidth="1"/>
    <col min="780" max="780" width="18.25" style="1" customWidth="1"/>
    <col min="781" max="781" width="13.75" style="1" customWidth="1"/>
    <col min="782" max="783" width="5.875" style="1" customWidth="1"/>
    <col min="784" max="784" width="30.375" style="1" customWidth="1"/>
    <col min="785" max="785" width="17.25" style="1" customWidth="1"/>
    <col min="786" max="787" width="5.875" style="1" customWidth="1"/>
    <col min="788" max="788" width="30.375" style="1" customWidth="1"/>
    <col min="789" max="789" width="17.25" style="1" customWidth="1"/>
    <col min="790" max="791" width="5.875" style="1" customWidth="1"/>
    <col min="792" max="792" width="30.375" style="1" customWidth="1"/>
    <col min="793" max="793" width="17.25" style="1" customWidth="1"/>
    <col min="794" max="795" width="5.875" style="1" customWidth="1"/>
    <col min="796" max="796" width="49.125" style="1" customWidth="1"/>
    <col min="797" max="797" width="8.375" style="1" customWidth="1"/>
    <col min="798" max="798" width="12.375" style="1" customWidth="1"/>
    <col min="799" max="799" width="14.375" style="1" customWidth="1"/>
    <col min="800" max="800" width="5.875" style="1" customWidth="1"/>
    <col min="801" max="801" width="8.375" style="1" customWidth="1"/>
    <col min="802" max="802" width="5.875" style="1" customWidth="1"/>
    <col min="803" max="803" width="11.125" style="1" customWidth="1"/>
    <col min="804" max="808" width="5.875" style="1" customWidth="1"/>
    <col min="809" max="809" width="8.875" style="1" customWidth="1"/>
    <col min="810" max="810" width="8.625" style="1" customWidth="1"/>
    <col min="811" max="811" width="10.625" style="1" customWidth="1"/>
    <col min="812" max="812" width="5.875" style="1" customWidth="1"/>
    <col min="813" max="813" width="7.875" style="1" customWidth="1"/>
    <col min="814" max="814" width="5.875" style="1" customWidth="1"/>
    <col min="815" max="815" width="8.125" style="1" customWidth="1"/>
    <col min="816" max="820" width="5.875" style="1" customWidth="1"/>
    <col min="821" max="1024" width="9" style="1"/>
    <col min="1025" max="1025" width="3.75" style="1" customWidth="1"/>
    <col min="1026" max="1026" width="35.625" style="1" customWidth="1"/>
    <col min="1027" max="1028" width="13.75" style="1" customWidth="1"/>
    <col min="1029" max="1029" width="29.5" style="1" customWidth="1"/>
    <col min="1030" max="1030" width="13.75" style="1" customWidth="1"/>
    <col min="1031" max="1031" width="17.375" style="1" customWidth="1"/>
    <col min="1032" max="1032" width="16.125" style="1" customWidth="1"/>
    <col min="1033" max="1035" width="13.75" style="1" customWidth="1"/>
    <col min="1036" max="1036" width="18.25" style="1" customWidth="1"/>
    <col min="1037" max="1037" width="13.75" style="1" customWidth="1"/>
    <col min="1038" max="1039" width="5.875" style="1" customWidth="1"/>
    <col min="1040" max="1040" width="30.375" style="1" customWidth="1"/>
    <col min="1041" max="1041" width="17.25" style="1" customWidth="1"/>
    <col min="1042" max="1043" width="5.875" style="1" customWidth="1"/>
    <col min="1044" max="1044" width="30.375" style="1" customWidth="1"/>
    <col min="1045" max="1045" width="17.25" style="1" customWidth="1"/>
    <col min="1046" max="1047" width="5.875" style="1" customWidth="1"/>
    <col min="1048" max="1048" width="30.375" style="1" customWidth="1"/>
    <col min="1049" max="1049" width="17.25" style="1" customWidth="1"/>
    <col min="1050" max="1051" width="5.875" style="1" customWidth="1"/>
    <col min="1052" max="1052" width="49.125" style="1" customWidth="1"/>
    <col min="1053" max="1053" width="8.375" style="1" customWidth="1"/>
    <col min="1054" max="1054" width="12.375" style="1" customWidth="1"/>
    <col min="1055" max="1055" width="14.375" style="1" customWidth="1"/>
    <col min="1056" max="1056" width="5.875" style="1" customWidth="1"/>
    <col min="1057" max="1057" width="8.375" style="1" customWidth="1"/>
    <col min="1058" max="1058" width="5.875" style="1" customWidth="1"/>
    <col min="1059" max="1059" width="11.125" style="1" customWidth="1"/>
    <col min="1060" max="1064" width="5.875" style="1" customWidth="1"/>
    <col min="1065" max="1065" width="8.875" style="1" customWidth="1"/>
    <col min="1066" max="1066" width="8.625" style="1" customWidth="1"/>
    <col min="1067" max="1067" width="10.625" style="1" customWidth="1"/>
    <col min="1068" max="1068" width="5.875" style="1" customWidth="1"/>
    <col min="1069" max="1069" width="7.875" style="1" customWidth="1"/>
    <col min="1070" max="1070" width="5.875" style="1" customWidth="1"/>
    <col min="1071" max="1071" width="8.125" style="1" customWidth="1"/>
    <col min="1072" max="1076" width="5.875" style="1" customWidth="1"/>
    <col min="1077" max="1280" width="9" style="1"/>
    <col min="1281" max="1281" width="3.75" style="1" customWidth="1"/>
    <col min="1282" max="1282" width="35.625" style="1" customWidth="1"/>
    <col min="1283" max="1284" width="13.75" style="1" customWidth="1"/>
    <col min="1285" max="1285" width="29.5" style="1" customWidth="1"/>
    <col min="1286" max="1286" width="13.75" style="1" customWidth="1"/>
    <col min="1287" max="1287" width="17.375" style="1" customWidth="1"/>
    <col min="1288" max="1288" width="16.125" style="1" customWidth="1"/>
    <col min="1289" max="1291" width="13.75" style="1" customWidth="1"/>
    <col min="1292" max="1292" width="18.25" style="1" customWidth="1"/>
    <col min="1293" max="1293" width="13.75" style="1" customWidth="1"/>
    <col min="1294" max="1295" width="5.875" style="1" customWidth="1"/>
    <col min="1296" max="1296" width="30.375" style="1" customWidth="1"/>
    <col min="1297" max="1297" width="17.25" style="1" customWidth="1"/>
    <col min="1298" max="1299" width="5.875" style="1" customWidth="1"/>
    <col min="1300" max="1300" width="30.375" style="1" customWidth="1"/>
    <col min="1301" max="1301" width="17.25" style="1" customWidth="1"/>
    <col min="1302" max="1303" width="5.875" style="1" customWidth="1"/>
    <col min="1304" max="1304" width="30.375" style="1" customWidth="1"/>
    <col min="1305" max="1305" width="17.25" style="1" customWidth="1"/>
    <col min="1306" max="1307" width="5.875" style="1" customWidth="1"/>
    <col min="1308" max="1308" width="49.125" style="1" customWidth="1"/>
    <col min="1309" max="1309" width="8.375" style="1" customWidth="1"/>
    <col min="1310" max="1310" width="12.375" style="1" customWidth="1"/>
    <col min="1311" max="1311" width="14.375" style="1" customWidth="1"/>
    <col min="1312" max="1312" width="5.875" style="1" customWidth="1"/>
    <col min="1313" max="1313" width="8.375" style="1" customWidth="1"/>
    <col min="1314" max="1314" width="5.875" style="1" customWidth="1"/>
    <col min="1315" max="1315" width="11.125" style="1" customWidth="1"/>
    <col min="1316" max="1320" width="5.875" style="1" customWidth="1"/>
    <col min="1321" max="1321" width="8.875" style="1" customWidth="1"/>
    <col min="1322" max="1322" width="8.625" style="1" customWidth="1"/>
    <col min="1323" max="1323" width="10.625" style="1" customWidth="1"/>
    <col min="1324" max="1324" width="5.875" style="1" customWidth="1"/>
    <col min="1325" max="1325" width="7.875" style="1" customWidth="1"/>
    <col min="1326" max="1326" width="5.875" style="1" customWidth="1"/>
    <col min="1327" max="1327" width="8.125" style="1" customWidth="1"/>
    <col min="1328" max="1332" width="5.875" style="1" customWidth="1"/>
    <col min="1333" max="1536" width="9" style="1"/>
    <col min="1537" max="1537" width="3.75" style="1" customWidth="1"/>
    <col min="1538" max="1538" width="35.625" style="1" customWidth="1"/>
    <col min="1539" max="1540" width="13.75" style="1" customWidth="1"/>
    <col min="1541" max="1541" width="29.5" style="1" customWidth="1"/>
    <col min="1542" max="1542" width="13.75" style="1" customWidth="1"/>
    <col min="1543" max="1543" width="17.375" style="1" customWidth="1"/>
    <col min="1544" max="1544" width="16.125" style="1" customWidth="1"/>
    <col min="1545" max="1547" width="13.75" style="1" customWidth="1"/>
    <col min="1548" max="1548" width="18.25" style="1" customWidth="1"/>
    <col min="1549" max="1549" width="13.75" style="1" customWidth="1"/>
    <col min="1550" max="1551" width="5.875" style="1" customWidth="1"/>
    <col min="1552" max="1552" width="30.375" style="1" customWidth="1"/>
    <col min="1553" max="1553" width="17.25" style="1" customWidth="1"/>
    <col min="1554" max="1555" width="5.875" style="1" customWidth="1"/>
    <col min="1556" max="1556" width="30.375" style="1" customWidth="1"/>
    <col min="1557" max="1557" width="17.25" style="1" customWidth="1"/>
    <col min="1558" max="1559" width="5.875" style="1" customWidth="1"/>
    <col min="1560" max="1560" width="30.375" style="1" customWidth="1"/>
    <col min="1561" max="1561" width="17.25" style="1" customWidth="1"/>
    <col min="1562" max="1563" width="5.875" style="1" customWidth="1"/>
    <col min="1564" max="1564" width="49.125" style="1" customWidth="1"/>
    <col min="1565" max="1565" width="8.375" style="1" customWidth="1"/>
    <col min="1566" max="1566" width="12.375" style="1" customWidth="1"/>
    <col min="1567" max="1567" width="14.375" style="1" customWidth="1"/>
    <col min="1568" max="1568" width="5.875" style="1" customWidth="1"/>
    <col min="1569" max="1569" width="8.375" style="1" customWidth="1"/>
    <col min="1570" max="1570" width="5.875" style="1" customWidth="1"/>
    <col min="1571" max="1571" width="11.125" style="1" customWidth="1"/>
    <col min="1572" max="1576" width="5.875" style="1" customWidth="1"/>
    <col min="1577" max="1577" width="8.875" style="1" customWidth="1"/>
    <col min="1578" max="1578" width="8.625" style="1" customWidth="1"/>
    <col min="1579" max="1579" width="10.625" style="1" customWidth="1"/>
    <col min="1580" max="1580" width="5.875" style="1" customWidth="1"/>
    <col min="1581" max="1581" width="7.875" style="1" customWidth="1"/>
    <col min="1582" max="1582" width="5.875" style="1" customWidth="1"/>
    <col min="1583" max="1583" width="8.125" style="1" customWidth="1"/>
    <col min="1584" max="1588" width="5.875" style="1" customWidth="1"/>
    <col min="1589" max="1792" width="9" style="1"/>
    <col min="1793" max="1793" width="3.75" style="1" customWidth="1"/>
    <col min="1794" max="1794" width="35.625" style="1" customWidth="1"/>
    <col min="1795" max="1796" width="13.75" style="1" customWidth="1"/>
    <col min="1797" max="1797" width="29.5" style="1" customWidth="1"/>
    <col min="1798" max="1798" width="13.75" style="1" customWidth="1"/>
    <col min="1799" max="1799" width="17.375" style="1" customWidth="1"/>
    <col min="1800" max="1800" width="16.125" style="1" customWidth="1"/>
    <col min="1801" max="1803" width="13.75" style="1" customWidth="1"/>
    <col min="1804" max="1804" width="18.25" style="1" customWidth="1"/>
    <col min="1805" max="1805" width="13.75" style="1" customWidth="1"/>
    <col min="1806" max="1807" width="5.875" style="1" customWidth="1"/>
    <col min="1808" max="1808" width="30.375" style="1" customWidth="1"/>
    <col min="1809" max="1809" width="17.25" style="1" customWidth="1"/>
    <col min="1810" max="1811" width="5.875" style="1" customWidth="1"/>
    <col min="1812" max="1812" width="30.375" style="1" customWidth="1"/>
    <col min="1813" max="1813" width="17.25" style="1" customWidth="1"/>
    <col min="1814" max="1815" width="5.875" style="1" customWidth="1"/>
    <col min="1816" max="1816" width="30.375" style="1" customWidth="1"/>
    <col min="1817" max="1817" width="17.25" style="1" customWidth="1"/>
    <col min="1818" max="1819" width="5.875" style="1" customWidth="1"/>
    <col min="1820" max="1820" width="49.125" style="1" customWidth="1"/>
    <col min="1821" max="1821" width="8.375" style="1" customWidth="1"/>
    <col min="1822" max="1822" width="12.375" style="1" customWidth="1"/>
    <col min="1823" max="1823" width="14.375" style="1" customWidth="1"/>
    <col min="1824" max="1824" width="5.875" style="1" customWidth="1"/>
    <col min="1825" max="1825" width="8.375" style="1" customWidth="1"/>
    <col min="1826" max="1826" width="5.875" style="1" customWidth="1"/>
    <col min="1827" max="1827" width="11.125" style="1" customWidth="1"/>
    <col min="1828" max="1832" width="5.875" style="1" customWidth="1"/>
    <col min="1833" max="1833" width="8.875" style="1" customWidth="1"/>
    <col min="1834" max="1834" width="8.625" style="1" customWidth="1"/>
    <col min="1835" max="1835" width="10.625" style="1" customWidth="1"/>
    <col min="1836" max="1836" width="5.875" style="1" customWidth="1"/>
    <col min="1837" max="1837" width="7.875" style="1" customWidth="1"/>
    <col min="1838" max="1838" width="5.875" style="1" customWidth="1"/>
    <col min="1839" max="1839" width="8.125" style="1" customWidth="1"/>
    <col min="1840" max="1844" width="5.875" style="1" customWidth="1"/>
    <col min="1845" max="2048" width="9" style="1"/>
    <col min="2049" max="2049" width="3.75" style="1" customWidth="1"/>
    <col min="2050" max="2050" width="35.625" style="1" customWidth="1"/>
    <col min="2051" max="2052" width="13.75" style="1" customWidth="1"/>
    <col min="2053" max="2053" width="29.5" style="1" customWidth="1"/>
    <col min="2054" max="2054" width="13.75" style="1" customWidth="1"/>
    <col min="2055" max="2055" width="17.375" style="1" customWidth="1"/>
    <col min="2056" max="2056" width="16.125" style="1" customWidth="1"/>
    <col min="2057" max="2059" width="13.75" style="1" customWidth="1"/>
    <col min="2060" max="2060" width="18.25" style="1" customWidth="1"/>
    <col min="2061" max="2061" width="13.75" style="1" customWidth="1"/>
    <col min="2062" max="2063" width="5.875" style="1" customWidth="1"/>
    <col min="2064" max="2064" width="30.375" style="1" customWidth="1"/>
    <col min="2065" max="2065" width="17.25" style="1" customWidth="1"/>
    <col min="2066" max="2067" width="5.875" style="1" customWidth="1"/>
    <col min="2068" max="2068" width="30.375" style="1" customWidth="1"/>
    <col min="2069" max="2069" width="17.25" style="1" customWidth="1"/>
    <col min="2070" max="2071" width="5.875" style="1" customWidth="1"/>
    <col min="2072" max="2072" width="30.375" style="1" customWidth="1"/>
    <col min="2073" max="2073" width="17.25" style="1" customWidth="1"/>
    <col min="2074" max="2075" width="5.875" style="1" customWidth="1"/>
    <col min="2076" max="2076" width="49.125" style="1" customWidth="1"/>
    <col min="2077" max="2077" width="8.375" style="1" customWidth="1"/>
    <col min="2078" max="2078" width="12.375" style="1" customWidth="1"/>
    <col min="2079" max="2079" width="14.375" style="1" customWidth="1"/>
    <col min="2080" max="2080" width="5.875" style="1" customWidth="1"/>
    <col min="2081" max="2081" width="8.375" style="1" customWidth="1"/>
    <col min="2082" max="2082" width="5.875" style="1" customWidth="1"/>
    <col min="2083" max="2083" width="11.125" style="1" customWidth="1"/>
    <col min="2084" max="2088" width="5.875" style="1" customWidth="1"/>
    <col min="2089" max="2089" width="8.875" style="1" customWidth="1"/>
    <col min="2090" max="2090" width="8.625" style="1" customWidth="1"/>
    <col min="2091" max="2091" width="10.625" style="1" customWidth="1"/>
    <col min="2092" max="2092" width="5.875" style="1" customWidth="1"/>
    <col min="2093" max="2093" width="7.875" style="1" customWidth="1"/>
    <col min="2094" max="2094" width="5.875" style="1" customWidth="1"/>
    <col min="2095" max="2095" width="8.125" style="1" customWidth="1"/>
    <col min="2096" max="2100" width="5.875" style="1" customWidth="1"/>
    <col min="2101" max="2304" width="9" style="1"/>
    <col min="2305" max="2305" width="3.75" style="1" customWidth="1"/>
    <col min="2306" max="2306" width="35.625" style="1" customWidth="1"/>
    <col min="2307" max="2308" width="13.75" style="1" customWidth="1"/>
    <col min="2309" max="2309" width="29.5" style="1" customWidth="1"/>
    <col min="2310" max="2310" width="13.75" style="1" customWidth="1"/>
    <col min="2311" max="2311" width="17.375" style="1" customWidth="1"/>
    <col min="2312" max="2312" width="16.125" style="1" customWidth="1"/>
    <col min="2313" max="2315" width="13.75" style="1" customWidth="1"/>
    <col min="2316" max="2316" width="18.25" style="1" customWidth="1"/>
    <col min="2317" max="2317" width="13.75" style="1" customWidth="1"/>
    <col min="2318" max="2319" width="5.875" style="1" customWidth="1"/>
    <col min="2320" max="2320" width="30.375" style="1" customWidth="1"/>
    <col min="2321" max="2321" width="17.25" style="1" customWidth="1"/>
    <col min="2322" max="2323" width="5.875" style="1" customWidth="1"/>
    <col min="2324" max="2324" width="30.375" style="1" customWidth="1"/>
    <col min="2325" max="2325" width="17.25" style="1" customWidth="1"/>
    <col min="2326" max="2327" width="5.875" style="1" customWidth="1"/>
    <col min="2328" max="2328" width="30.375" style="1" customWidth="1"/>
    <col min="2329" max="2329" width="17.25" style="1" customWidth="1"/>
    <col min="2330" max="2331" width="5.875" style="1" customWidth="1"/>
    <col min="2332" max="2332" width="49.125" style="1" customWidth="1"/>
    <col min="2333" max="2333" width="8.375" style="1" customWidth="1"/>
    <col min="2334" max="2334" width="12.375" style="1" customWidth="1"/>
    <col min="2335" max="2335" width="14.375" style="1" customWidth="1"/>
    <col min="2336" max="2336" width="5.875" style="1" customWidth="1"/>
    <col min="2337" max="2337" width="8.375" style="1" customWidth="1"/>
    <col min="2338" max="2338" width="5.875" style="1" customWidth="1"/>
    <col min="2339" max="2339" width="11.125" style="1" customWidth="1"/>
    <col min="2340" max="2344" width="5.875" style="1" customWidth="1"/>
    <col min="2345" max="2345" width="8.875" style="1" customWidth="1"/>
    <col min="2346" max="2346" width="8.625" style="1" customWidth="1"/>
    <col min="2347" max="2347" width="10.625" style="1" customWidth="1"/>
    <col min="2348" max="2348" width="5.875" style="1" customWidth="1"/>
    <col min="2349" max="2349" width="7.875" style="1" customWidth="1"/>
    <col min="2350" max="2350" width="5.875" style="1" customWidth="1"/>
    <col min="2351" max="2351" width="8.125" style="1" customWidth="1"/>
    <col min="2352" max="2356" width="5.875" style="1" customWidth="1"/>
    <col min="2357" max="2560" width="9" style="1"/>
    <col min="2561" max="2561" width="3.75" style="1" customWidth="1"/>
    <col min="2562" max="2562" width="35.625" style="1" customWidth="1"/>
    <col min="2563" max="2564" width="13.75" style="1" customWidth="1"/>
    <col min="2565" max="2565" width="29.5" style="1" customWidth="1"/>
    <col min="2566" max="2566" width="13.75" style="1" customWidth="1"/>
    <col min="2567" max="2567" width="17.375" style="1" customWidth="1"/>
    <col min="2568" max="2568" width="16.125" style="1" customWidth="1"/>
    <col min="2569" max="2571" width="13.75" style="1" customWidth="1"/>
    <col min="2572" max="2572" width="18.25" style="1" customWidth="1"/>
    <col min="2573" max="2573" width="13.75" style="1" customWidth="1"/>
    <col min="2574" max="2575" width="5.875" style="1" customWidth="1"/>
    <col min="2576" max="2576" width="30.375" style="1" customWidth="1"/>
    <col min="2577" max="2577" width="17.25" style="1" customWidth="1"/>
    <col min="2578" max="2579" width="5.875" style="1" customWidth="1"/>
    <col min="2580" max="2580" width="30.375" style="1" customWidth="1"/>
    <col min="2581" max="2581" width="17.25" style="1" customWidth="1"/>
    <col min="2582" max="2583" width="5.875" style="1" customWidth="1"/>
    <col min="2584" max="2584" width="30.375" style="1" customWidth="1"/>
    <col min="2585" max="2585" width="17.25" style="1" customWidth="1"/>
    <col min="2586" max="2587" width="5.875" style="1" customWidth="1"/>
    <col min="2588" max="2588" width="49.125" style="1" customWidth="1"/>
    <col min="2589" max="2589" width="8.375" style="1" customWidth="1"/>
    <col min="2590" max="2590" width="12.375" style="1" customWidth="1"/>
    <col min="2591" max="2591" width="14.375" style="1" customWidth="1"/>
    <col min="2592" max="2592" width="5.875" style="1" customWidth="1"/>
    <col min="2593" max="2593" width="8.375" style="1" customWidth="1"/>
    <col min="2594" max="2594" width="5.875" style="1" customWidth="1"/>
    <col min="2595" max="2595" width="11.125" style="1" customWidth="1"/>
    <col min="2596" max="2600" width="5.875" style="1" customWidth="1"/>
    <col min="2601" max="2601" width="8.875" style="1" customWidth="1"/>
    <col min="2602" max="2602" width="8.625" style="1" customWidth="1"/>
    <col min="2603" max="2603" width="10.625" style="1" customWidth="1"/>
    <col min="2604" max="2604" width="5.875" style="1" customWidth="1"/>
    <col min="2605" max="2605" width="7.875" style="1" customWidth="1"/>
    <col min="2606" max="2606" width="5.875" style="1" customWidth="1"/>
    <col min="2607" max="2607" width="8.125" style="1" customWidth="1"/>
    <col min="2608" max="2612" width="5.875" style="1" customWidth="1"/>
    <col min="2613" max="2816" width="9" style="1"/>
    <col min="2817" max="2817" width="3.75" style="1" customWidth="1"/>
    <col min="2818" max="2818" width="35.625" style="1" customWidth="1"/>
    <col min="2819" max="2820" width="13.75" style="1" customWidth="1"/>
    <col min="2821" max="2821" width="29.5" style="1" customWidth="1"/>
    <col min="2822" max="2822" width="13.75" style="1" customWidth="1"/>
    <col min="2823" max="2823" width="17.375" style="1" customWidth="1"/>
    <col min="2824" max="2824" width="16.125" style="1" customWidth="1"/>
    <col min="2825" max="2827" width="13.75" style="1" customWidth="1"/>
    <col min="2828" max="2828" width="18.25" style="1" customWidth="1"/>
    <col min="2829" max="2829" width="13.75" style="1" customWidth="1"/>
    <col min="2830" max="2831" width="5.875" style="1" customWidth="1"/>
    <col min="2832" max="2832" width="30.375" style="1" customWidth="1"/>
    <col min="2833" max="2833" width="17.25" style="1" customWidth="1"/>
    <col min="2834" max="2835" width="5.875" style="1" customWidth="1"/>
    <col min="2836" max="2836" width="30.375" style="1" customWidth="1"/>
    <col min="2837" max="2837" width="17.25" style="1" customWidth="1"/>
    <col min="2838" max="2839" width="5.875" style="1" customWidth="1"/>
    <col min="2840" max="2840" width="30.375" style="1" customWidth="1"/>
    <col min="2841" max="2841" width="17.25" style="1" customWidth="1"/>
    <col min="2842" max="2843" width="5.875" style="1" customWidth="1"/>
    <col min="2844" max="2844" width="49.125" style="1" customWidth="1"/>
    <col min="2845" max="2845" width="8.375" style="1" customWidth="1"/>
    <col min="2846" max="2846" width="12.375" style="1" customWidth="1"/>
    <col min="2847" max="2847" width="14.375" style="1" customWidth="1"/>
    <col min="2848" max="2848" width="5.875" style="1" customWidth="1"/>
    <col min="2849" max="2849" width="8.375" style="1" customWidth="1"/>
    <col min="2850" max="2850" width="5.875" style="1" customWidth="1"/>
    <col min="2851" max="2851" width="11.125" style="1" customWidth="1"/>
    <col min="2852" max="2856" width="5.875" style="1" customWidth="1"/>
    <col min="2857" max="2857" width="8.875" style="1" customWidth="1"/>
    <col min="2858" max="2858" width="8.625" style="1" customWidth="1"/>
    <col min="2859" max="2859" width="10.625" style="1" customWidth="1"/>
    <col min="2860" max="2860" width="5.875" style="1" customWidth="1"/>
    <col min="2861" max="2861" width="7.875" style="1" customWidth="1"/>
    <col min="2862" max="2862" width="5.875" style="1" customWidth="1"/>
    <col min="2863" max="2863" width="8.125" style="1" customWidth="1"/>
    <col min="2864" max="2868" width="5.875" style="1" customWidth="1"/>
    <col min="2869" max="3072" width="9" style="1"/>
    <col min="3073" max="3073" width="3.75" style="1" customWidth="1"/>
    <col min="3074" max="3074" width="35.625" style="1" customWidth="1"/>
    <col min="3075" max="3076" width="13.75" style="1" customWidth="1"/>
    <col min="3077" max="3077" width="29.5" style="1" customWidth="1"/>
    <col min="3078" max="3078" width="13.75" style="1" customWidth="1"/>
    <col min="3079" max="3079" width="17.375" style="1" customWidth="1"/>
    <col min="3080" max="3080" width="16.125" style="1" customWidth="1"/>
    <col min="3081" max="3083" width="13.75" style="1" customWidth="1"/>
    <col min="3084" max="3084" width="18.25" style="1" customWidth="1"/>
    <col min="3085" max="3085" width="13.75" style="1" customWidth="1"/>
    <col min="3086" max="3087" width="5.875" style="1" customWidth="1"/>
    <col min="3088" max="3088" width="30.375" style="1" customWidth="1"/>
    <col min="3089" max="3089" width="17.25" style="1" customWidth="1"/>
    <col min="3090" max="3091" width="5.875" style="1" customWidth="1"/>
    <col min="3092" max="3092" width="30.375" style="1" customWidth="1"/>
    <col min="3093" max="3093" width="17.25" style="1" customWidth="1"/>
    <col min="3094" max="3095" width="5.875" style="1" customWidth="1"/>
    <col min="3096" max="3096" width="30.375" style="1" customWidth="1"/>
    <col min="3097" max="3097" width="17.25" style="1" customWidth="1"/>
    <col min="3098" max="3099" width="5.875" style="1" customWidth="1"/>
    <col min="3100" max="3100" width="49.125" style="1" customWidth="1"/>
    <col min="3101" max="3101" width="8.375" style="1" customWidth="1"/>
    <col min="3102" max="3102" width="12.375" style="1" customWidth="1"/>
    <col min="3103" max="3103" width="14.375" style="1" customWidth="1"/>
    <col min="3104" max="3104" width="5.875" style="1" customWidth="1"/>
    <col min="3105" max="3105" width="8.375" style="1" customWidth="1"/>
    <col min="3106" max="3106" width="5.875" style="1" customWidth="1"/>
    <col min="3107" max="3107" width="11.125" style="1" customWidth="1"/>
    <col min="3108" max="3112" width="5.875" style="1" customWidth="1"/>
    <col min="3113" max="3113" width="8.875" style="1" customWidth="1"/>
    <col min="3114" max="3114" width="8.625" style="1" customWidth="1"/>
    <col min="3115" max="3115" width="10.625" style="1" customWidth="1"/>
    <col min="3116" max="3116" width="5.875" style="1" customWidth="1"/>
    <col min="3117" max="3117" width="7.875" style="1" customWidth="1"/>
    <col min="3118" max="3118" width="5.875" style="1" customWidth="1"/>
    <col min="3119" max="3119" width="8.125" style="1" customWidth="1"/>
    <col min="3120" max="3124" width="5.875" style="1" customWidth="1"/>
    <col min="3125" max="3328" width="9" style="1"/>
    <col min="3329" max="3329" width="3.75" style="1" customWidth="1"/>
    <col min="3330" max="3330" width="35.625" style="1" customWidth="1"/>
    <col min="3331" max="3332" width="13.75" style="1" customWidth="1"/>
    <col min="3333" max="3333" width="29.5" style="1" customWidth="1"/>
    <col min="3334" max="3334" width="13.75" style="1" customWidth="1"/>
    <col min="3335" max="3335" width="17.375" style="1" customWidth="1"/>
    <col min="3336" max="3336" width="16.125" style="1" customWidth="1"/>
    <col min="3337" max="3339" width="13.75" style="1" customWidth="1"/>
    <col min="3340" max="3340" width="18.25" style="1" customWidth="1"/>
    <col min="3341" max="3341" width="13.75" style="1" customWidth="1"/>
    <col min="3342" max="3343" width="5.875" style="1" customWidth="1"/>
    <col min="3344" max="3344" width="30.375" style="1" customWidth="1"/>
    <col min="3345" max="3345" width="17.25" style="1" customWidth="1"/>
    <col min="3346" max="3347" width="5.875" style="1" customWidth="1"/>
    <col min="3348" max="3348" width="30.375" style="1" customWidth="1"/>
    <col min="3349" max="3349" width="17.25" style="1" customWidth="1"/>
    <col min="3350" max="3351" width="5.875" style="1" customWidth="1"/>
    <col min="3352" max="3352" width="30.375" style="1" customWidth="1"/>
    <col min="3353" max="3353" width="17.25" style="1" customWidth="1"/>
    <col min="3354" max="3355" width="5.875" style="1" customWidth="1"/>
    <col min="3356" max="3356" width="49.125" style="1" customWidth="1"/>
    <col min="3357" max="3357" width="8.375" style="1" customWidth="1"/>
    <col min="3358" max="3358" width="12.375" style="1" customWidth="1"/>
    <col min="3359" max="3359" width="14.375" style="1" customWidth="1"/>
    <col min="3360" max="3360" width="5.875" style="1" customWidth="1"/>
    <col min="3361" max="3361" width="8.375" style="1" customWidth="1"/>
    <col min="3362" max="3362" width="5.875" style="1" customWidth="1"/>
    <col min="3363" max="3363" width="11.125" style="1" customWidth="1"/>
    <col min="3364" max="3368" width="5.875" style="1" customWidth="1"/>
    <col min="3369" max="3369" width="8.875" style="1" customWidth="1"/>
    <col min="3370" max="3370" width="8.625" style="1" customWidth="1"/>
    <col min="3371" max="3371" width="10.625" style="1" customWidth="1"/>
    <col min="3372" max="3372" width="5.875" style="1" customWidth="1"/>
    <col min="3373" max="3373" width="7.875" style="1" customWidth="1"/>
    <col min="3374" max="3374" width="5.875" style="1" customWidth="1"/>
    <col min="3375" max="3375" width="8.125" style="1" customWidth="1"/>
    <col min="3376" max="3380" width="5.875" style="1" customWidth="1"/>
    <col min="3381" max="3584" width="9" style="1"/>
    <col min="3585" max="3585" width="3.75" style="1" customWidth="1"/>
    <col min="3586" max="3586" width="35.625" style="1" customWidth="1"/>
    <col min="3587" max="3588" width="13.75" style="1" customWidth="1"/>
    <col min="3589" max="3589" width="29.5" style="1" customWidth="1"/>
    <col min="3590" max="3590" width="13.75" style="1" customWidth="1"/>
    <col min="3591" max="3591" width="17.375" style="1" customWidth="1"/>
    <col min="3592" max="3592" width="16.125" style="1" customWidth="1"/>
    <col min="3593" max="3595" width="13.75" style="1" customWidth="1"/>
    <col min="3596" max="3596" width="18.25" style="1" customWidth="1"/>
    <col min="3597" max="3597" width="13.75" style="1" customWidth="1"/>
    <col min="3598" max="3599" width="5.875" style="1" customWidth="1"/>
    <col min="3600" max="3600" width="30.375" style="1" customWidth="1"/>
    <col min="3601" max="3601" width="17.25" style="1" customWidth="1"/>
    <col min="3602" max="3603" width="5.875" style="1" customWidth="1"/>
    <col min="3604" max="3604" width="30.375" style="1" customWidth="1"/>
    <col min="3605" max="3605" width="17.25" style="1" customWidth="1"/>
    <col min="3606" max="3607" width="5.875" style="1" customWidth="1"/>
    <col min="3608" max="3608" width="30.375" style="1" customWidth="1"/>
    <col min="3609" max="3609" width="17.25" style="1" customWidth="1"/>
    <col min="3610" max="3611" width="5.875" style="1" customWidth="1"/>
    <col min="3612" max="3612" width="49.125" style="1" customWidth="1"/>
    <col min="3613" max="3613" width="8.375" style="1" customWidth="1"/>
    <col min="3614" max="3614" width="12.375" style="1" customWidth="1"/>
    <col min="3615" max="3615" width="14.375" style="1" customWidth="1"/>
    <col min="3616" max="3616" width="5.875" style="1" customWidth="1"/>
    <col min="3617" max="3617" width="8.375" style="1" customWidth="1"/>
    <col min="3618" max="3618" width="5.875" style="1" customWidth="1"/>
    <col min="3619" max="3619" width="11.125" style="1" customWidth="1"/>
    <col min="3620" max="3624" width="5.875" style="1" customWidth="1"/>
    <col min="3625" max="3625" width="8.875" style="1" customWidth="1"/>
    <col min="3626" max="3626" width="8.625" style="1" customWidth="1"/>
    <col min="3627" max="3627" width="10.625" style="1" customWidth="1"/>
    <col min="3628" max="3628" width="5.875" style="1" customWidth="1"/>
    <col min="3629" max="3629" width="7.875" style="1" customWidth="1"/>
    <col min="3630" max="3630" width="5.875" style="1" customWidth="1"/>
    <col min="3631" max="3631" width="8.125" style="1" customWidth="1"/>
    <col min="3632" max="3636" width="5.875" style="1" customWidth="1"/>
    <col min="3637" max="3840" width="9" style="1"/>
    <col min="3841" max="3841" width="3.75" style="1" customWidth="1"/>
    <col min="3842" max="3842" width="35.625" style="1" customWidth="1"/>
    <col min="3843" max="3844" width="13.75" style="1" customWidth="1"/>
    <col min="3845" max="3845" width="29.5" style="1" customWidth="1"/>
    <col min="3846" max="3846" width="13.75" style="1" customWidth="1"/>
    <col min="3847" max="3847" width="17.375" style="1" customWidth="1"/>
    <col min="3848" max="3848" width="16.125" style="1" customWidth="1"/>
    <col min="3849" max="3851" width="13.75" style="1" customWidth="1"/>
    <col min="3852" max="3852" width="18.25" style="1" customWidth="1"/>
    <col min="3853" max="3853" width="13.75" style="1" customWidth="1"/>
    <col min="3854" max="3855" width="5.875" style="1" customWidth="1"/>
    <col min="3856" max="3856" width="30.375" style="1" customWidth="1"/>
    <col min="3857" max="3857" width="17.25" style="1" customWidth="1"/>
    <col min="3858" max="3859" width="5.875" style="1" customWidth="1"/>
    <col min="3860" max="3860" width="30.375" style="1" customWidth="1"/>
    <col min="3861" max="3861" width="17.25" style="1" customWidth="1"/>
    <col min="3862" max="3863" width="5.875" style="1" customWidth="1"/>
    <col min="3864" max="3864" width="30.375" style="1" customWidth="1"/>
    <col min="3865" max="3865" width="17.25" style="1" customWidth="1"/>
    <col min="3866" max="3867" width="5.875" style="1" customWidth="1"/>
    <col min="3868" max="3868" width="49.125" style="1" customWidth="1"/>
    <col min="3869" max="3869" width="8.375" style="1" customWidth="1"/>
    <col min="3870" max="3870" width="12.375" style="1" customWidth="1"/>
    <col min="3871" max="3871" width="14.375" style="1" customWidth="1"/>
    <col min="3872" max="3872" width="5.875" style="1" customWidth="1"/>
    <col min="3873" max="3873" width="8.375" style="1" customWidth="1"/>
    <col min="3874" max="3874" width="5.875" style="1" customWidth="1"/>
    <col min="3875" max="3875" width="11.125" style="1" customWidth="1"/>
    <col min="3876" max="3880" width="5.875" style="1" customWidth="1"/>
    <col min="3881" max="3881" width="8.875" style="1" customWidth="1"/>
    <col min="3882" max="3882" width="8.625" style="1" customWidth="1"/>
    <col min="3883" max="3883" width="10.625" style="1" customWidth="1"/>
    <col min="3884" max="3884" width="5.875" style="1" customWidth="1"/>
    <col min="3885" max="3885" width="7.875" style="1" customWidth="1"/>
    <col min="3886" max="3886" width="5.875" style="1" customWidth="1"/>
    <col min="3887" max="3887" width="8.125" style="1" customWidth="1"/>
    <col min="3888" max="3892" width="5.875" style="1" customWidth="1"/>
    <col min="3893" max="4096" width="9" style="1"/>
    <col min="4097" max="4097" width="3.75" style="1" customWidth="1"/>
    <col min="4098" max="4098" width="35.625" style="1" customWidth="1"/>
    <col min="4099" max="4100" width="13.75" style="1" customWidth="1"/>
    <col min="4101" max="4101" width="29.5" style="1" customWidth="1"/>
    <col min="4102" max="4102" width="13.75" style="1" customWidth="1"/>
    <col min="4103" max="4103" width="17.375" style="1" customWidth="1"/>
    <col min="4104" max="4104" width="16.125" style="1" customWidth="1"/>
    <col min="4105" max="4107" width="13.75" style="1" customWidth="1"/>
    <col min="4108" max="4108" width="18.25" style="1" customWidth="1"/>
    <col min="4109" max="4109" width="13.75" style="1" customWidth="1"/>
    <col min="4110" max="4111" width="5.875" style="1" customWidth="1"/>
    <col min="4112" max="4112" width="30.375" style="1" customWidth="1"/>
    <col min="4113" max="4113" width="17.25" style="1" customWidth="1"/>
    <col min="4114" max="4115" width="5.875" style="1" customWidth="1"/>
    <col min="4116" max="4116" width="30.375" style="1" customWidth="1"/>
    <col min="4117" max="4117" width="17.25" style="1" customWidth="1"/>
    <col min="4118" max="4119" width="5.875" style="1" customWidth="1"/>
    <col min="4120" max="4120" width="30.375" style="1" customWidth="1"/>
    <col min="4121" max="4121" width="17.25" style="1" customWidth="1"/>
    <col min="4122" max="4123" width="5.875" style="1" customWidth="1"/>
    <col min="4124" max="4124" width="49.125" style="1" customWidth="1"/>
    <col min="4125" max="4125" width="8.375" style="1" customWidth="1"/>
    <col min="4126" max="4126" width="12.375" style="1" customWidth="1"/>
    <col min="4127" max="4127" width="14.375" style="1" customWidth="1"/>
    <col min="4128" max="4128" width="5.875" style="1" customWidth="1"/>
    <col min="4129" max="4129" width="8.375" style="1" customWidth="1"/>
    <col min="4130" max="4130" width="5.875" style="1" customWidth="1"/>
    <col min="4131" max="4131" width="11.125" style="1" customWidth="1"/>
    <col min="4132" max="4136" width="5.875" style="1" customWidth="1"/>
    <col min="4137" max="4137" width="8.875" style="1" customWidth="1"/>
    <col min="4138" max="4138" width="8.625" style="1" customWidth="1"/>
    <col min="4139" max="4139" width="10.625" style="1" customWidth="1"/>
    <col min="4140" max="4140" width="5.875" style="1" customWidth="1"/>
    <col min="4141" max="4141" width="7.875" style="1" customWidth="1"/>
    <col min="4142" max="4142" width="5.875" style="1" customWidth="1"/>
    <col min="4143" max="4143" width="8.125" style="1" customWidth="1"/>
    <col min="4144" max="4148" width="5.875" style="1" customWidth="1"/>
    <col min="4149" max="4352" width="9" style="1"/>
    <col min="4353" max="4353" width="3.75" style="1" customWidth="1"/>
    <col min="4354" max="4354" width="35.625" style="1" customWidth="1"/>
    <col min="4355" max="4356" width="13.75" style="1" customWidth="1"/>
    <col min="4357" max="4357" width="29.5" style="1" customWidth="1"/>
    <col min="4358" max="4358" width="13.75" style="1" customWidth="1"/>
    <col min="4359" max="4359" width="17.375" style="1" customWidth="1"/>
    <col min="4360" max="4360" width="16.125" style="1" customWidth="1"/>
    <col min="4361" max="4363" width="13.75" style="1" customWidth="1"/>
    <col min="4364" max="4364" width="18.25" style="1" customWidth="1"/>
    <col min="4365" max="4365" width="13.75" style="1" customWidth="1"/>
    <col min="4366" max="4367" width="5.875" style="1" customWidth="1"/>
    <col min="4368" max="4368" width="30.375" style="1" customWidth="1"/>
    <col min="4369" max="4369" width="17.25" style="1" customWidth="1"/>
    <col min="4370" max="4371" width="5.875" style="1" customWidth="1"/>
    <col min="4372" max="4372" width="30.375" style="1" customWidth="1"/>
    <col min="4373" max="4373" width="17.25" style="1" customWidth="1"/>
    <col min="4374" max="4375" width="5.875" style="1" customWidth="1"/>
    <col min="4376" max="4376" width="30.375" style="1" customWidth="1"/>
    <col min="4377" max="4377" width="17.25" style="1" customWidth="1"/>
    <col min="4378" max="4379" width="5.875" style="1" customWidth="1"/>
    <col min="4380" max="4380" width="49.125" style="1" customWidth="1"/>
    <col min="4381" max="4381" width="8.375" style="1" customWidth="1"/>
    <col min="4382" max="4382" width="12.375" style="1" customWidth="1"/>
    <col min="4383" max="4383" width="14.375" style="1" customWidth="1"/>
    <col min="4384" max="4384" width="5.875" style="1" customWidth="1"/>
    <col min="4385" max="4385" width="8.375" style="1" customWidth="1"/>
    <col min="4386" max="4386" width="5.875" style="1" customWidth="1"/>
    <col min="4387" max="4387" width="11.125" style="1" customWidth="1"/>
    <col min="4388" max="4392" width="5.875" style="1" customWidth="1"/>
    <col min="4393" max="4393" width="8.875" style="1" customWidth="1"/>
    <col min="4394" max="4394" width="8.625" style="1" customWidth="1"/>
    <col min="4395" max="4395" width="10.625" style="1" customWidth="1"/>
    <col min="4396" max="4396" width="5.875" style="1" customWidth="1"/>
    <col min="4397" max="4397" width="7.875" style="1" customWidth="1"/>
    <col min="4398" max="4398" width="5.875" style="1" customWidth="1"/>
    <col min="4399" max="4399" width="8.125" style="1" customWidth="1"/>
    <col min="4400" max="4404" width="5.875" style="1" customWidth="1"/>
    <col min="4405" max="4608" width="9" style="1"/>
    <col min="4609" max="4609" width="3.75" style="1" customWidth="1"/>
    <col min="4610" max="4610" width="35.625" style="1" customWidth="1"/>
    <col min="4611" max="4612" width="13.75" style="1" customWidth="1"/>
    <col min="4613" max="4613" width="29.5" style="1" customWidth="1"/>
    <col min="4614" max="4614" width="13.75" style="1" customWidth="1"/>
    <col min="4615" max="4615" width="17.375" style="1" customWidth="1"/>
    <col min="4616" max="4616" width="16.125" style="1" customWidth="1"/>
    <col min="4617" max="4619" width="13.75" style="1" customWidth="1"/>
    <col min="4620" max="4620" width="18.25" style="1" customWidth="1"/>
    <col min="4621" max="4621" width="13.75" style="1" customWidth="1"/>
    <col min="4622" max="4623" width="5.875" style="1" customWidth="1"/>
    <col min="4624" max="4624" width="30.375" style="1" customWidth="1"/>
    <col min="4625" max="4625" width="17.25" style="1" customWidth="1"/>
    <col min="4626" max="4627" width="5.875" style="1" customWidth="1"/>
    <col min="4628" max="4628" width="30.375" style="1" customWidth="1"/>
    <col min="4629" max="4629" width="17.25" style="1" customWidth="1"/>
    <col min="4630" max="4631" width="5.875" style="1" customWidth="1"/>
    <col min="4632" max="4632" width="30.375" style="1" customWidth="1"/>
    <col min="4633" max="4633" width="17.25" style="1" customWidth="1"/>
    <col min="4634" max="4635" width="5.875" style="1" customWidth="1"/>
    <col min="4636" max="4636" width="49.125" style="1" customWidth="1"/>
    <col min="4637" max="4637" width="8.375" style="1" customWidth="1"/>
    <col min="4638" max="4638" width="12.375" style="1" customWidth="1"/>
    <col min="4639" max="4639" width="14.375" style="1" customWidth="1"/>
    <col min="4640" max="4640" width="5.875" style="1" customWidth="1"/>
    <col min="4641" max="4641" width="8.375" style="1" customWidth="1"/>
    <col min="4642" max="4642" width="5.875" style="1" customWidth="1"/>
    <col min="4643" max="4643" width="11.125" style="1" customWidth="1"/>
    <col min="4644" max="4648" width="5.875" style="1" customWidth="1"/>
    <col min="4649" max="4649" width="8.875" style="1" customWidth="1"/>
    <col min="4650" max="4650" width="8.625" style="1" customWidth="1"/>
    <col min="4651" max="4651" width="10.625" style="1" customWidth="1"/>
    <col min="4652" max="4652" width="5.875" style="1" customWidth="1"/>
    <col min="4653" max="4653" width="7.875" style="1" customWidth="1"/>
    <col min="4654" max="4654" width="5.875" style="1" customWidth="1"/>
    <col min="4655" max="4655" width="8.125" style="1" customWidth="1"/>
    <col min="4656" max="4660" width="5.875" style="1" customWidth="1"/>
    <col min="4661" max="4864" width="9" style="1"/>
    <col min="4865" max="4865" width="3.75" style="1" customWidth="1"/>
    <col min="4866" max="4866" width="35.625" style="1" customWidth="1"/>
    <col min="4867" max="4868" width="13.75" style="1" customWidth="1"/>
    <col min="4869" max="4869" width="29.5" style="1" customWidth="1"/>
    <col min="4870" max="4870" width="13.75" style="1" customWidth="1"/>
    <col min="4871" max="4871" width="17.375" style="1" customWidth="1"/>
    <col min="4872" max="4872" width="16.125" style="1" customWidth="1"/>
    <col min="4873" max="4875" width="13.75" style="1" customWidth="1"/>
    <col min="4876" max="4876" width="18.25" style="1" customWidth="1"/>
    <col min="4877" max="4877" width="13.75" style="1" customWidth="1"/>
    <col min="4878" max="4879" width="5.875" style="1" customWidth="1"/>
    <col min="4880" max="4880" width="30.375" style="1" customWidth="1"/>
    <col min="4881" max="4881" width="17.25" style="1" customWidth="1"/>
    <col min="4882" max="4883" width="5.875" style="1" customWidth="1"/>
    <col min="4884" max="4884" width="30.375" style="1" customWidth="1"/>
    <col min="4885" max="4885" width="17.25" style="1" customWidth="1"/>
    <col min="4886" max="4887" width="5.875" style="1" customWidth="1"/>
    <col min="4888" max="4888" width="30.375" style="1" customWidth="1"/>
    <col min="4889" max="4889" width="17.25" style="1" customWidth="1"/>
    <col min="4890" max="4891" width="5.875" style="1" customWidth="1"/>
    <col min="4892" max="4892" width="49.125" style="1" customWidth="1"/>
    <col min="4893" max="4893" width="8.375" style="1" customWidth="1"/>
    <col min="4894" max="4894" width="12.375" style="1" customWidth="1"/>
    <col min="4895" max="4895" width="14.375" style="1" customWidth="1"/>
    <col min="4896" max="4896" width="5.875" style="1" customWidth="1"/>
    <col min="4897" max="4897" width="8.375" style="1" customWidth="1"/>
    <col min="4898" max="4898" width="5.875" style="1" customWidth="1"/>
    <col min="4899" max="4899" width="11.125" style="1" customWidth="1"/>
    <col min="4900" max="4904" width="5.875" style="1" customWidth="1"/>
    <col min="4905" max="4905" width="8.875" style="1" customWidth="1"/>
    <col min="4906" max="4906" width="8.625" style="1" customWidth="1"/>
    <col min="4907" max="4907" width="10.625" style="1" customWidth="1"/>
    <col min="4908" max="4908" width="5.875" style="1" customWidth="1"/>
    <col min="4909" max="4909" width="7.875" style="1" customWidth="1"/>
    <col min="4910" max="4910" width="5.875" style="1" customWidth="1"/>
    <col min="4911" max="4911" width="8.125" style="1" customWidth="1"/>
    <col min="4912" max="4916" width="5.875" style="1" customWidth="1"/>
    <col min="4917" max="5120" width="9" style="1"/>
    <col min="5121" max="5121" width="3.75" style="1" customWidth="1"/>
    <col min="5122" max="5122" width="35.625" style="1" customWidth="1"/>
    <col min="5123" max="5124" width="13.75" style="1" customWidth="1"/>
    <col min="5125" max="5125" width="29.5" style="1" customWidth="1"/>
    <col min="5126" max="5126" width="13.75" style="1" customWidth="1"/>
    <col min="5127" max="5127" width="17.375" style="1" customWidth="1"/>
    <col min="5128" max="5128" width="16.125" style="1" customWidth="1"/>
    <col min="5129" max="5131" width="13.75" style="1" customWidth="1"/>
    <col min="5132" max="5132" width="18.25" style="1" customWidth="1"/>
    <col min="5133" max="5133" width="13.75" style="1" customWidth="1"/>
    <col min="5134" max="5135" width="5.875" style="1" customWidth="1"/>
    <col min="5136" max="5136" width="30.375" style="1" customWidth="1"/>
    <col min="5137" max="5137" width="17.25" style="1" customWidth="1"/>
    <col min="5138" max="5139" width="5.875" style="1" customWidth="1"/>
    <col min="5140" max="5140" width="30.375" style="1" customWidth="1"/>
    <col min="5141" max="5141" width="17.25" style="1" customWidth="1"/>
    <col min="5142" max="5143" width="5.875" style="1" customWidth="1"/>
    <col min="5144" max="5144" width="30.375" style="1" customWidth="1"/>
    <col min="5145" max="5145" width="17.25" style="1" customWidth="1"/>
    <col min="5146" max="5147" width="5.875" style="1" customWidth="1"/>
    <col min="5148" max="5148" width="49.125" style="1" customWidth="1"/>
    <col min="5149" max="5149" width="8.375" style="1" customWidth="1"/>
    <col min="5150" max="5150" width="12.375" style="1" customWidth="1"/>
    <col min="5151" max="5151" width="14.375" style="1" customWidth="1"/>
    <col min="5152" max="5152" width="5.875" style="1" customWidth="1"/>
    <col min="5153" max="5153" width="8.375" style="1" customWidth="1"/>
    <col min="5154" max="5154" width="5.875" style="1" customWidth="1"/>
    <col min="5155" max="5155" width="11.125" style="1" customWidth="1"/>
    <col min="5156" max="5160" width="5.875" style="1" customWidth="1"/>
    <col min="5161" max="5161" width="8.875" style="1" customWidth="1"/>
    <col min="5162" max="5162" width="8.625" style="1" customWidth="1"/>
    <col min="5163" max="5163" width="10.625" style="1" customWidth="1"/>
    <col min="5164" max="5164" width="5.875" style="1" customWidth="1"/>
    <col min="5165" max="5165" width="7.875" style="1" customWidth="1"/>
    <col min="5166" max="5166" width="5.875" style="1" customWidth="1"/>
    <col min="5167" max="5167" width="8.125" style="1" customWidth="1"/>
    <col min="5168" max="5172" width="5.875" style="1" customWidth="1"/>
    <col min="5173" max="5376" width="9" style="1"/>
    <col min="5377" max="5377" width="3.75" style="1" customWidth="1"/>
    <col min="5378" max="5378" width="35.625" style="1" customWidth="1"/>
    <col min="5379" max="5380" width="13.75" style="1" customWidth="1"/>
    <col min="5381" max="5381" width="29.5" style="1" customWidth="1"/>
    <col min="5382" max="5382" width="13.75" style="1" customWidth="1"/>
    <col min="5383" max="5383" width="17.375" style="1" customWidth="1"/>
    <col min="5384" max="5384" width="16.125" style="1" customWidth="1"/>
    <col min="5385" max="5387" width="13.75" style="1" customWidth="1"/>
    <col min="5388" max="5388" width="18.25" style="1" customWidth="1"/>
    <col min="5389" max="5389" width="13.75" style="1" customWidth="1"/>
    <col min="5390" max="5391" width="5.875" style="1" customWidth="1"/>
    <col min="5392" max="5392" width="30.375" style="1" customWidth="1"/>
    <col min="5393" max="5393" width="17.25" style="1" customWidth="1"/>
    <col min="5394" max="5395" width="5.875" style="1" customWidth="1"/>
    <col min="5396" max="5396" width="30.375" style="1" customWidth="1"/>
    <col min="5397" max="5397" width="17.25" style="1" customWidth="1"/>
    <col min="5398" max="5399" width="5.875" style="1" customWidth="1"/>
    <col min="5400" max="5400" width="30.375" style="1" customWidth="1"/>
    <col min="5401" max="5401" width="17.25" style="1" customWidth="1"/>
    <col min="5402" max="5403" width="5.875" style="1" customWidth="1"/>
    <col min="5404" max="5404" width="49.125" style="1" customWidth="1"/>
    <col min="5405" max="5405" width="8.375" style="1" customWidth="1"/>
    <col min="5406" max="5406" width="12.375" style="1" customWidth="1"/>
    <col min="5407" max="5407" width="14.375" style="1" customWidth="1"/>
    <col min="5408" max="5408" width="5.875" style="1" customWidth="1"/>
    <col min="5409" max="5409" width="8.375" style="1" customWidth="1"/>
    <col min="5410" max="5410" width="5.875" style="1" customWidth="1"/>
    <col min="5411" max="5411" width="11.125" style="1" customWidth="1"/>
    <col min="5412" max="5416" width="5.875" style="1" customWidth="1"/>
    <col min="5417" max="5417" width="8.875" style="1" customWidth="1"/>
    <col min="5418" max="5418" width="8.625" style="1" customWidth="1"/>
    <col min="5419" max="5419" width="10.625" style="1" customWidth="1"/>
    <col min="5420" max="5420" width="5.875" style="1" customWidth="1"/>
    <col min="5421" max="5421" width="7.875" style="1" customWidth="1"/>
    <col min="5422" max="5422" width="5.875" style="1" customWidth="1"/>
    <col min="5423" max="5423" width="8.125" style="1" customWidth="1"/>
    <col min="5424" max="5428" width="5.875" style="1" customWidth="1"/>
    <col min="5429" max="5632" width="9" style="1"/>
    <col min="5633" max="5633" width="3.75" style="1" customWidth="1"/>
    <col min="5634" max="5634" width="35.625" style="1" customWidth="1"/>
    <col min="5635" max="5636" width="13.75" style="1" customWidth="1"/>
    <col min="5637" max="5637" width="29.5" style="1" customWidth="1"/>
    <col min="5638" max="5638" width="13.75" style="1" customWidth="1"/>
    <col min="5639" max="5639" width="17.375" style="1" customWidth="1"/>
    <col min="5640" max="5640" width="16.125" style="1" customWidth="1"/>
    <col min="5641" max="5643" width="13.75" style="1" customWidth="1"/>
    <col min="5644" max="5644" width="18.25" style="1" customWidth="1"/>
    <col min="5645" max="5645" width="13.75" style="1" customWidth="1"/>
    <col min="5646" max="5647" width="5.875" style="1" customWidth="1"/>
    <col min="5648" max="5648" width="30.375" style="1" customWidth="1"/>
    <col min="5649" max="5649" width="17.25" style="1" customWidth="1"/>
    <col min="5650" max="5651" width="5.875" style="1" customWidth="1"/>
    <col min="5652" max="5652" width="30.375" style="1" customWidth="1"/>
    <col min="5653" max="5653" width="17.25" style="1" customWidth="1"/>
    <col min="5654" max="5655" width="5.875" style="1" customWidth="1"/>
    <col min="5656" max="5656" width="30.375" style="1" customWidth="1"/>
    <col min="5657" max="5657" width="17.25" style="1" customWidth="1"/>
    <col min="5658" max="5659" width="5.875" style="1" customWidth="1"/>
    <col min="5660" max="5660" width="49.125" style="1" customWidth="1"/>
    <col min="5661" max="5661" width="8.375" style="1" customWidth="1"/>
    <col min="5662" max="5662" width="12.375" style="1" customWidth="1"/>
    <col min="5663" max="5663" width="14.375" style="1" customWidth="1"/>
    <col min="5664" max="5664" width="5.875" style="1" customWidth="1"/>
    <col min="5665" max="5665" width="8.375" style="1" customWidth="1"/>
    <col min="5666" max="5666" width="5.875" style="1" customWidth="1"/>
    <col min="5667" max="5667" width="11.125" style="1" customWidth="1"/>
    <col min="5668" max="5672" width="5.875" style="1" customWidth="1"/>
    <col min="5673" max="5673" width="8.875" style="1" customWidth="1"/>
    <col min="5674" max="5674" width="8.625" style="1" customWidth="1"/>
    <col min="5675" max="5675" width="10.625" style="1" customWidth="1"/>
    <col min="5676" max="5676" width="5.875" style="1" customWidth="1"/>
    <col min="5677" max="5677" width="7.875" style="1" customWidth="1"/>
    <col min="5678" max="5678" width="5.875" style="1" customWidth="1"/>
    <col min="5679" max="5679" width="8.125" style="1" customWidth="1"/>
    <col min="5680" max="5684" width="5.875" style="1" customWidth="1"/>
    <col min="5685" max="5888" width="9" style="1"/>
    <col min="5889" max="5889" width="3.75" style="1" customWidth="1"/>
    <col min="5890" max="5890" width="35.625" style="1" customWidth="1"/>
    <col min="5891" max="5892" width="13.75" style="1" customWidth="1"/>
    <col min="5893" max="5893" width="29.5" style="1" customWidth="1"/>
    <col min="5894" max="5894" width="13.75" style="1" customWidth="1"/>
    <col min="5895" max="5895" width="17.375" style="1" customWidth="1"/>
    <col min="5896" max="5896" width="16.125" style="1" customWidth="1"/>
    <col min="5897" max="5899" width="13.75" style="1" customWidth="1"/>
    <col min="5900" max="5900" width="18.25" style="1" customWidth="1"/>
    <col min="5901" max="5901" width="13.75" style="1" customWidth="1"/>
    <col min="5902" max="5903" width="5.875" style="1" customWidth="1"/>
    <col min="5904" max="5904" width="30.375" style="1" customWidth="1"/>
    <col min="5905" max="5905" width="17.25" style="1" customWidth="1"/>
    <col min="5906" max="5907" width="5.875" style="1" customWidth="1"/>
    <col min="5908" max="5908" width="30.375" style="1" customWidth="1"/>
    <col min="5909" max="5909" width="17.25" style="1" customWidth="1"/>
    <col min="5910" max="5911" width="5.875" style="1" customWidth="1"/>
    <col min="5912" max="5912" width="30.375" style="1" customWidth="1"/>
    <col min="5913" max="5913" width="17.25" style="1" customWidth="1"/>
    <col min="5914" max="5915" width="5.875" style="1" customWidth="1"/>
    <col min="5916" max="5916" width="49.125" style="1" customWidth="1"/>
    <col min="5917" max="5917" width="8.375" style="1" customWidth="1"/>
    <col min="5918" max="5918" width="12.375" style="1" customWidth="1"/>
    <col min="5919" max="5919" width="14.375" style="1" customWidth="1"/>
    <col min="5920" max="5920" width="5.875" style="1" customWidth="1"/>
    <col min="5921" max="5921" width="8.375" style="1" customWidth="1"/>
    <col min="5922" max="5922" width="5.875" style="1" customWidth="1"/>
    <col min="5923" max="5923" width="11.125" style="1" customWidth="1"/>
    <col min="5924" max="5928" width="5.875" style="1" customWidth="1"/>
    <col min="5929" max="5929" width="8.875" style="1" customWidth="1"/>
    <col min="5930" max="5930" width="8.625" style="1" customWidth="1"/>
    <col min="5931" max="5931" width="10.625" style="1" customWidth="1"/>
    <col min="5932" max="5932" width="5.875" style="1" customWidth="1"/>
    <col min="5933" max="5933" width="7.875" style="1" customWidth="1"/>
    <col min="5934" max="5934" width="5.875" style="1" customWidth="1"/>
    <col min="5935" max="5935" width="8.125" style="1" customWidth="1"/>
    <col min="5936" max="5940" width="5.875" style="1" customWidth="1"/>
    <col min="5941" max="6144" width="9" style="1"/>
    <col min="6145" max="6145" width="3.75" style="1" customWidth="1"/>
    <col min="6146" max="6146" width="35.625" style="1" customWidth="1"/>
    <col min="6147" max="6148" width="13.75" style="1" customWidth="1"/>
    <col min="6149" max="6149" width="29.5" style="1" customWidth="1"/>
    <col min="6150" max="6150" width="13.75" style="1" customWidth="1"/>
    <col min="6151" max="6151" width="17.375" style="1" customWidth="1"/>
    <col min="6152" max="6152" width="16.125" style="1" customWidth="1"/>
    <col min="6153" max="6155" width="13.75" style="1" customWidth="1"/>
    <col min="6156" max="6156" width="18.25" style="1" customWidth="1"/>
    <col min="6157" max="6157" width="13.75" style="1" customWidth="1"/>
    <col min="6158" max="6159" width="5.875" style="1" customWidth="1"/>
    <col min="6160" max="6160" width="30.375" style="1" customWidth="1"/>
    <col min="6161" max="6161" width="17.25" style="1" customWidth="1"/>
    <col min="6162" max="6163" width="5.875" style="1" customWidth="1"/>
    <col min="6164" max="6164" width="30.375" style="1" customWidth="1"/>
    <col min="6165" max="6165" width="17.25" style="1" customWidth="1"/>
    <col min="6166" max="6167" width="5.875" style="1" customWidth="1"/>
    <col min="6168" max="6168" width="30.375" style="1" customWidth="1"/>
    <col min="6169" max="6169" width="17.25" style="1" customWidth="1"/>
    <col min="6170" max="6171" width="5.875" style="1" customWidth="1"/>
    <col min="6172" max="6172" width="49.125" style="1" customWidth="1"/>
    <col min="6173" max="6173" width="8.375" style="1" customWidth="1"/>
    <col min="6174" max="6174" width="12.375" style="1" customWidth="1"/>
    <col min="6175" max="6175" width="14.375" style="1" customWidth="1"/>
    <col min="6176" max="6176" width="5.875" style="1" customWidth="1"/>
    <col min="6177" max="6177" width="8.375" style="1" customWidth="1"/>
    <col min="6178" max="6178" width="5.875" style="1" customWidth="1"/>
    <col min="6179" max="6179" width="11.125" style="1" customWidth="1"/>
    <col min="6180" max="6184" width="5.875" style="1" customWidth="1"/>
    <col min="6185" max="6185" width="8.875" style="1" customWidth="1"/>
    <col min="6186" max="6186" width="8.625" style="1" customWidth="1"/>
    <col min="6187" max="6187" width="10.625" style="1" customWidth="1"/>
    <col min="6188" max="6188" width="5.875" style="1" customWidth="1"/>
    <col min="6189" max="6189" width="7.875" style="1" customWidth="1"/>
    <col min="6190" max="6190" width="5.875" style="1" customWidth="1"/>
    <col min="6191" max="6191" width="8.125" style="1" customWidth="1"/>
    <col min="6192" max="6196" width="5.875" style="1" customWidth="1"/>
    <col min="6197" max="6400" width="9" style="1"/>
    <col min="6401" max="6401" width="3.75" style="1" customWidth="1"/>
    <col min="6402" max="6402" width="35.625" style="1" customWidth="1"/>
    <col min="6403" max="6404" width="13.75" style="1" customWidth="1"/>
    <col min="6405" max="6405" width="29.5" style="1" customWidth="1"/>
    <col min="6406" max="6406" width="13.75" style="1" customWidth="1"/>
    <col min="6407" max="6407" width="17.375" style="1" customWidth="1"/>
    <col min="6408" max="6408" width="16.125" style="1" customWidth="1"/>
    <col min="6409" max="6411" width="13.75" style="1" customWidth="1"/>
    <col min="6412" max="6412" width="18.25" style="1" customWidth="1"/>
    <col min="6413" max="6413" width="13.75" style="1" customWidth="1"/>
    <col min="6414" max="6415" width="5.875" style="1" customWidth="1"/>
    <col min="6416" max="6416" width="30.375" style="1" customWidth="1"/>
    <col min="6417" max="6417" width="17.25" style="1" customWidth="1"/>
    <col min="6418" max="6419" width="5.875" style="1" customWidth="1"/>
    <col min="6420" max="6420" width="30.375" style="1" customWidth="1"/>
    <col min="6421" max="6421" width="17.25" style="1" customWidth="1"/>
    <col min="6422" max="6423" width="5.875" style="1" customWidth="1"/>
    <col min="6424" max="6424" width="30.375" style="1" customWidth="1"/>
    <col min="6425" max="6425" width="17.25" style="1" customWidth="1"/>
    <col min="6426" max="6427" width="5.875" style="1" customWidth="1"/>
    <col min="6428" max="6428" width="49.125" style="1" customWidth="1"/>
    <col min="6429" max="6429" width="8.375" style="1" customWidth="1"/>
    <col min="6430" max="6430" width="12.375" style="1" customWidth="1"/>
    <col min="6431" max="6431" width="14.375" style="1" customWidth="1"/>
    <col min="6432" max="6432" width="5.875" style="1" customWidth="1"/>
    <col min="6433" max="6433" width="8.375" style="1" customWidth="1"/>
    <col min="6434" max="6434" width="5.875" style="1" customWidth="1"/>
    <col min="6435" max="6435" width="11.125" style="1" customWidth="1"/>
    <col min="6436" max="6440" width="5.875" style="1" customWidth="1"/>
    <col min="6441" max="6441" width="8.875" style="1" customWidth="1"/>
    <col min="6442" max="6442" width="8.625" style="1" customWidth="1"/>
    <col min="6443" max="6443" width="10.625" style="1" customWidth="1"/>
    <col min="6444" max="6444" width="5.875" style="1" customWidth="1"/>
    <col min="6445" max="6445" width="7.875" style="1" customWidth="1"/>
    <col min="6446" max="6446" width="5.875" style="1" customWidth="1"/>
    <col min="6447" max="6447" width="8.125" style="1" customWidth="1"/>
    <col min="6448" max="6452" width="5.875" style="1" customWidth="1"/>
    <col min="6453" max="6656" width="9" style="1"/>
    <col min="6657" max="6657" width="3.75" style="1" customWidth="1"/>
    <col min="6658" max="6658" width="35.625" style="1" customWidth="1"/>
    <col min="6659" max="6660" width="13.75" style="1" customWidth="1"/>
    <col min="6661" max="6661" width="29.5" style="1" customWidth="1"/>
    <col min="6662" max="6662" width="13.75" style="1" customWidth="1"/>
    <col min="6663" max="6663" width="17.375" style="1" customWidth="1"/>
    <col min="6664" max="6664" width="16.125" style="1" customWidth="1"/>
    <col min="6665" max="6667" width="13.75" style="1" customWidth="1"/>
    <col min="6668" max="6668" width="18.25" style="1" customWidth="1"/>
    <col min="6669" max="6669" width="13.75" style="1" customWidth="1"/>
    <col min="6670" max="6671" width="5.875" style="1" customWidth="1"/>
    <col min="6672" max="6672" width="30.375" style="1" customWidth="1"/>
    <col min="6673" max="6673" width="17.25" style="1" customWidth="1"/>
    <col min="6674" max="6675" width="5.875" style="1" customWidth="1"/>
    <col min="6676" max="6676" width="30.375" style="1" customWidth="1"/>
    <col min="6677" max="6677" width="17.25" style="1" customWidth="1"/>
    <col min="6678" max="6679" width="5.875" style="1" customWidth="1"/>
    <col min="6680" max="6680" width="30.375" style="1" customWidth="1"/>
    <col min="6681" max="6681" width="17.25" style="1" customWidth="1"/>
    <col min="6682" max="6683" width="5.875" style="1" customWidth="1"/>
    <col min="6684" max="6684" width="49.125" style="1" customWidth="1"/>
    <col min="6685" max="6685" width="8.375" style="1" customWidth="1"/>
    <col min="6686" max="6686" width="12.375" style="1" customWidth="1"/>
    <col min="6687" max="6687" width="14.375" style="1" customWidth="1"/>
    <col min="6688" max="6688" width="5.875" style="1" customWidth="1"/>
    <col min="6689" max="6689" width="8.375" style="1" customWidth="1"/>
    <col min="6690" max="6690" width="5.875" style="1" customWidth="1"/>
    <col min="6691" max="6691" width="11.125" style="1" customWidth="1"/>
    <col min="6692" max="6696" width="5.875" style="1" customWidth="1"/>
    <col min="6697" max="6697" width="8.875" style="1" customWidth="1"/>
    <col min="6698" max="6698" width="8.625" style="1" customWidth="1"/>
    <col min="6699" max="6699" width="10.625" style="1" customWidth="1"/>
    <col min="6700" max="6700" width="5.875" style="1" customWidth="1"/>
    <col min="6701" max="6701" width="7.875" style="1" customWidth="1"/>
    <col min="6702" max="6702" width="5.875" style="1" customWidth="1"/>
    <col min="6703" max="6703" width="8.125" style="1" customWidth="1"/>
    <col min="6704" max="6708" width="5.875" style="1" customWidth="1"/>
    <col min="6709" max="6912" width="9" style="1"/>
    <col min="6913" max="6913" width="3.75" style="1" customWidth="1"/>
    <col min="6914" max="6914" width="35.625" style="1" customWidth="1"/>
    <col min="6915" max="6916" width="13.75" style="1" customWidth="1"/>
    <col min="6917" max="6917" width="29.5" style="1" customWidth="1"/>
    <col min="6918" max="6918" width="13.75" style="1" customWidth="1"/>
    <col min="6919" max="6919" width="17.375" style="1" customWidth="1"/>
    <col min="6920" max="6920" width="16.125" style="1" customWidth="1"/>
    <col min="6921" max="6923" width="13.75" style="1" customWidth="1"/>
    <col min="6924" max="6924" width="18.25" style="1" customWidth="1"/>
    <col min="6925" max="6925" width="13.75" style="1" customWidth="1"/>
    <col min="6926" max="6927" width="5.875" style="1" customWidth="1"/>
    <col min="6928" max="6928" width="30.375" style="1" customWidth="1"/>
    <col min="6929" max="6929" width="17.25" style="1" customWidth="1"/>
    <col min="6930" max="6931" width="5.875" style="1" customWidth="1"/>
    <col min="6932" max="6932" width="30.375" style="1" customWidth="1"/>
    <col min="6933" max="6933" width="17.25" style="1" customWidth="1"/>
    <col min="6934" max="6935" width="5.875" style="1" customWidth="1"/>
    <col min="6936" max="6936" width="30.375" style="1" customWidth="1"/>
    <col min="6937" max="6937" width="17.25" style="1" customWidth="1"/>
    <col min="6938" max="6939" width="5.875" style="1" customWidth="1"/>
    <col min="6940" max="6940" width="49.125" style="1" customWidth="1"/>
    <col min="6941" max="6941" width="8.375" style="1" customWidth="1"/>
    <col min="6942" max="6942" width="12.375" style="1" customWidth="1"/>
    <col min="6943" max="6943" width="14.375" style="1" customWidth="1"/>
    <col min="6944" max="6944" width="5.875" style="1" customWidth="1"/>
    <col min="6945" max="6945" width="8.375" style="1" customWidth="1"/>
    <col min="6946" max="6946" width="5.875" style="1" customWidth="1"/>
    <col min="6947" max="6947" width="11.125" style="1" customWidth="1"/>
    <col min="6948" max="6952" width="5.875" style="1" customWidth="1"/>
    <col min="6953" max="6953" width="8.875" style="1" customWidth="1"/>
    <col min="6954" max="6954" width="8.625" style="1" customWidth="1"/>
    <col min="6955" max="6955" width="10.625" style="1" customWidth="1"/>
    <col min="6956" max="6956" width="5.875" style="1" customWidth="1"/>
    <col min="6957" max="6957" width="7.875" style="1" customWidth="1"/>
    <col min="6958" max="6958" width="5.875" style="1" customWidth="1"/>
    <col min="6959" max="6959" width="8.125" style="1" customWidth="1"/>
    <col min="6960" max="6964" width="5.875" style="1" customWidth="1"/>
    <col min="6965" max="7168" width="9" style="1"/>
    <col min="7169" max="7169" width="3.75" style="1" customWidth="1"/>
    <col min="7170" max="7170" width="35.625" style="1" customWidth="1"/>
    <col min="7171" max="7172" width="13.75" style="1" customWidth="1"/>
    <col min="7173" max="7173" width="29.5" style="1" customWidth="1"/>
    <col min="7174" max="7174" width="13.75" style="1" customWidth="1"/>
    <col min="7175" max="7175" width="17.375" style="1" customWidth="1"/>
    <col min="7176" max="7176" width="16.125" style="1" customWidth="1"/>
    <col min="7177" max="7179" width="13.75" style="1" customWidth="1"/>
    <col min="7180" max="7180" width="18.25" style="1" customWidth="1"/>
    <col min="7181" max="7181" width="13.75" style="1" customWidth="1"/>
    <col min="7182" max="7183" width="5.875" style="1" customWidth="1"/>
    <col min="7184" max="7184" width="30.375" style="1" customWidth="1"/>
    <col min="7185" max="7185" width="17.25" style="1" customWidth="1"/>
    <col min="7186" max="7187" width="5.875" style="1" customWidth="1"/>
    <col min="7188" max="7188" width="30.375" style="1" customWidth="1"/>
    <col min="7189" max="7189" width="17.25" style="1" customWidth="1"/>
    <col min="7190" max="7191" width="5.875" style="1" customWidth="1"/>
    <col min="7192" max="7192" width="30.375" style="1" customWidth="1"/>
    <col min="7193" max="7193" width="17.25" style="1" customWidth="1"/>
    <col min="7194" max="7195" width="5.875" style="1" customWidth="1"/>
    <col min="7196" max="7196" width="49.125" style="1" customWidth="1"/>
    <col min="7197" max="7197" width="8.375" style="1" customWidth="1"/>
    <col min="7198" max="7198" width="12.375" style="1" customWidth="1"/>
    <col min="7199" max="7199" width="14.375" style="1" customWidth="1"/>
    <col min="7200" max="7200" width="5.875" style="1" customWidth="1"/>
    <col min="7201" max="7201" width="8.375" style="1" customWidth="1"/>
    <col min="7202" max="7202" width="5.875" style="1" customWidth="1"/>
    <col min="7203" max="7203" width="11.125" style="1" customWidth="1"/>
    <col min="7204" max="7208" width="5.875" style="1" customWidth="1"/>
    <col min="7209" max="7209" width="8.875" style="1" customWidth="1"/>
    <col min="7210" max="7210" width="8.625" style="1" customWidth="1"/>
    <col min="7211" max="7211" width="10.625" style="1" customWidth="1"/>
    <col min="7212" max="7212" width="5.875" style="1" customWidth="1"/>
    <col min="7213" max="7213" width="7.875" style="1" customWidth="1"/>
    <col min="7214" max="7214" width="5.875" style="1" customWidth="1"/>
    <col min="7215" max="7215" width="8.125" style="1" customWidth="1"/>
    <col min="7216" max="7220" width="5.875" style="1" customWidth="1"/>
    <col min="7221" max="7424" width="9" style="1"/>
    <col min="7425" max="7425" width="3.75" style="1" customWidth="1"/>
    <col min="7426" max="7426" width="35.625" style="1" customWidth="1"/>
    <col min="7427" max="7428" width="13.75" style="1" customWidth="1"/>
    <col min="7429" max="7429" width="29.5" style="1" customWidth="1"/>
    <col min="7430" max="7430" width="13.75" style="1" customWidth="1"/>
    <col min="7431" max="7431" width="17.375" style="1" customWidth="1"/>
    <col min="7432" max="7432" width="16.125" style="1" customWidth="1"/>
    <col min="7433" max="7435" width="13.75" style="1" customWidth="1"/>
    <col min="7436" max="7436" width="18.25" style="1" customWidth="1"/>
    <col min="7437" max="7437" width="13.75" style="1" customWidth="1"/>
    <col min="7438" max="7439" width="5.875" style="1" customWidth="1"/>
    <col min="7440" max="7440" width="30.375" style="1" customWidth="1"/>
    <col min="7441" max="7441" width="17.25" style="1" customWidth="1"/>
    <col min="7442" max="7443" width="5.875" style="1" customWidth="1"/>
    <col min="7444" max="7444" width="30.375" style="1" customWidth="1"/>
    <col min="7445" max="7445" width="17.25" style="1" customWidth="1"/>
    <col min="7446" max="7447" width="5.875" style="1" customWidth="1"/>
    <col min="7448" max="7448" width="30.375" style="1" customWidth="1"/>
    <col min="7449" max="7449" width="17.25" style="1" customWidth="1"/>
    <col min="7450" max="7451" width="5.875" style="1" customWidth="1"/>
    <col min="7452" max="7452" width="49.125" style="1" customWidth="1"/>
    <col min="7453" max="7453" width="8.375" style="1" customWidth="1"/>
    <col min="7454" max="7454" width="12.375" style="1" customWidth="1"/>
    <col min="7455" max="7455" width="14.375" style="1" customWidth="1"/>
    <col min="7456" max="7456" width="5.875" style="1" customWidth="1"/>
    <col min="7457" max="7457" width="8.375" style="1" customWidth="1"/>
    <col min="7458" max="7458" width="5.875" style="1" customWidth="1"/>
    <col min="7459" max="7459" width="11.125" style="1" customWidth="1"/>
    <col min="7460" max="7464" width="5.875" style="1" customWidth="1"/>
    <col min="7465" max="7465" width="8.875" style="1" customWidth="1"/>
    <col min="7466" max="7466" width="8.625" style="1" customWidth="1"/>
    <col min="7467" max="7467" width="10.625" style="1" customWidth="1"/>
    <col min="7468" max="7468" width="5.875" style="1" customWidth="1"/>
    <col min="7469" max="7469" width="7.875" style="1" customWidth="1"/>
    <col min="7470" max="7470" width="5.875" style="1" customWidth="1"/>
    <col min="7471" max="7471" width="8.125" style="1" customWidth="1"/>
    <col min="7472" max="7476" width="5.875" style="1" customWidth="1"/>
    <col min="7477" max="7680" width="9" style="1"/>
    <col min="7681" max="7681" width="3.75" style="1" customWidth="1"/>
    <col min="7682" max="7682" width="35.625" style="1" customWidth="1"/>
    <col min="7683" max="7684" width="13.75" style="1" customWidth="1"/>
    <col min="7685" max="7685" width="29.5" style="1" customWidth="1"/>
    <col min="7686" max="7686" width="13.75" style="1" customWidth="1"/>
    <col min="7687" max="7687" width="17.375" style="1" customWidth="1"/>
    <col min="7688" max="7688" width="16.125" style="1" customWidth="1"/>
    <col min="7689" max="7691" width="13.75" style="1" customWidth="1"/>
    <col min="7692" max="7692" width="18.25" style="1" customWidth="1"/>
    <col min="7693" max="7693" width="13.75" style="1" customWidth="1"/>
    <col min="7694" max="7695" width="5.875" style="1" customWidth="1"/>
    <col min="7696" max="7696" width="30.375" style="1" customWidth="1"/>
    <col min="7697" max="7697" width="17.25" style="1" customWidth="1"/>
    <col min="7698" max="7699" width="5.875" style="1" customWidth="1"/>
    <col min="7700" max="7700" width="30.375" style="1" customWidth="1"/>
    <col min="7701" max="7701" width="17.25" style="1" customWidth="1"/>
    <col min="7702" max="7703" width="5.875" style="1" customWidth="1"/>
    <col min="7704" max="7704" width="30.375" style="1" customWidth="1"/>
    <col min="7705" max="7705" width="17.25" style="1" customWidth="1"/>
    <col min="7706" max="7707" width="5.875" style="1" customWidth="1"/>
    <col min="7708" max="7708" width="49.125" style="1" customWidth="1"/>
    <col min="7709" max="7709" width="8.375" style="1" customWidth="1"/>
    <col min="7710" max="7710" width="12.375" style="1" customWidth="1"/>
    <col min="7711" max="7711" width="14.375" style="1" customWidth="1"/>
    <col min="7712" max="7712" width="5.875" style="1" customWidth="1"/>
    <col min="7713" max="7713" width="8.375" style="1" customWidth="1"/>
    <col min="7714" max="7714" width="5.875" style="1" customWidth="1"/>
    <col min="7715" max="7715" width="11.125" style="1" customWidth="1"/>
    <col min="7716" max="7720" width="5.875" style="1" customWidth="1"/>
    <col min="7721" max="7721" width="8.875" style="1" customWidth="1"/>
    <col min="7722" max="7722" width="8.625" style="1" customWidth="1"/>
    <col min="7723" max="7723" width="10.625" style="1" customWidth="1"/>
    <col min="7724" max="7724" width="5.875" style="1" customWidth="1"/>
    <col min="7725" max="7725" width="7.875" style="1" customWidth="1"/>
    <col min="7726" max="7726" width="5.875" style="1" customWidth="1"/>
    <col min="7727" max="7727" width="8.125" style="1" customWidth="1"/>
    <col min="7728" max="7732" width="5.875" style="1" customWidth="1"/>
    <col min="7733" max="7936" width="9" style="1"/>
    <col min="7937" max="7937" width="3.75" style="1" customWidth="1"/>
    <col min="7938" max="7938" width="35.625" style="1" customWidth="1"/>
    <col min="7939" max="7940" width="13.75" style="1" customWidth="1"/>
    <col min="7941" max="7941" width="29.5" style="1" customWidth="1"/>
    <col min="7942" max="7942" width="13.75" style="1" customWidth="1"/>
    <col min="7943" max="7943" width="17.375" style="1" customWidth="1"/>
    <col min="7944" max="7944" width="16.125" style="1" customWidth="1"/>
    <col min="7945" max="7947" width="13.75" style="1" customWidth="1"/>
    <col min="7948" max="7948" width="18.25" style="1" customWidth="1"/>
    <col min="7949" max="7949" width="13.75" style="1" customWidth="1"/>
    <col min="7950" max="7951" width="5.875" style="1" customWidth="1"/>
    <col min="7952" max="7952" width="30.375" style="1" customWidth="1"/>
    <col min="7953" max="7953" width="17.25" style="1" customWidth="1"/>
    <col min="7954" max="7955" width="5.875" style="1" customWidth="1"/>
    <col min="7956" max="7956" width="30.375" style="1" customWidth="1"/>
    <col min="7957" max="7957" width="17.25" style="1" customWidth="1"/>
    <col min="7958" max="7959" width="5.875" style="1" customWidth="1"/>
    <col min="7960" max="7960" width="30.375" style="1" customWidth="1"/>
    <col min="7961" max="7961" width="17.25" style="1" customWidth="1"/>
    <col min="7962" max="7963" width="5.875" style="1" customWidth="1"/>
    <col min="7964" max="7964" width="49.125" style="1" customWidth="1"/>
    <col min="7965" max="7965" width="8.375" style="1" customWidth="1"/>
    <col min="7966" max="7966" width="12.375" style="1" customWidth="1"/>
    <col min="7967" max="7967" width="14.375" style="1" customWidth="1"/>
    <col min="7968" max="7968" width="5.875" style="1" customWidth="1"/>
    <col min="7969" max="7969" width="8.375" style="1" customWidth="1"/>
    <col min="7970" max="7970" width="5.875" style="1" customWidth="1"/>
    <col min="7971" max="7971" width="11.125" style="1" customWidth="1"/>
    <col min="7972" max="7976" width="5.875" style="1" customWidth="1"/>
    <col min="7977" max="7977" width="8.875" style="1" customWidth="1"/>
    <col min="7978" max="7978" width="8.625" style="1" customWidth="1"/>
    <col min="7979" max="7979" width="10.625" style="1" customWidth="1"/>
    <col min="7980" max="7980" width="5.875" style="1" customWidth="1"/>
    <col min="7981" max="7981" width="7.875" style="1" customWidth="1"/>
    <col min="7982" max="7982" width="5.875" style="1" customWidth="1"/>
    <col min="7983" max="7983" width="8.125" style="1" customWidth="1"/>
    <col min="7984" max="7988" width="5.875" style="1" customWidth="1"/>
    <col min="7989" max="8192" width="9" style="1"/>
    <col min="8193" max="8193" width="3.75" style="1" customWidth="1"/>
    <col min="8194" max="8194" width="35.625" style="1" customWidth="1"/>
    <col min="8195" max="8196" width="13.75" style="1" customWidth="1"/>
    <col min="8197" max="8197" width="29.5" style="1" customWidth="1"/>
    <col min="8198" max="8198" width="13.75" style="1" customWidth="1"/>
    <col min="8199" max="8199" width="17.375" style="1" customWidth="1"/>
    <col min="8200" max="8200" width="16.125" style="1" customWidth="1"/>
    <col min="8201" max="8203" width="13.75" style="1" customWidth="1"/>
    <col min="8204" max="8204" width="18.25" style="1" customWidth="1"/>
    <col min="8205" max="8205" width="13.75" style="1" customWidth="1"/>
    <col min="8206" max="8207" width="5.875" style="1" customWidth="1"/>
    <col min="8208" max="8208" width="30.375" style="1" customWidth="1"/>
    <col min="8209" max="8209" width="17.25" style="1" customWidth="1"/>
    <col min="8210" max="8211" width="5.875" style="1" customWidth="1"/>
    <col min="8212" max="8212" width="30.375" style="1" customWidth="1"/>
    <col min="8213" max="8213" width="17.25" style="1" customWidth="1"/>
    <col min="8214" max="8215" width="5.875" style="1" customWidth="1"/>
    <col min="8216" max="8216" width="30.375" style="1" customWidth="1"/>
    <col min="8217" max="8217" width="17.25" style="1" customWidth="1"/>
    <col min="8218" max="8219" width="5.875" style="1" customWidth="1"/>
    <col min="8220" max="8220" width="49.125" style="1" customWidth="1"/>
    <col min="8221" max="8221" width="8.375" style="1" customWidth="1"/>
    <col min="8222" max="8222" width="12.375" style="1" customWidth="1"/>
    <col min="8223" max="8223" width="14.375" style="1" customWidth="1"/>
    <col min="8224" max="8224" width="5.875" style="1" customWidth="1"/>
    <col min="8225" max="8225" width="8.375" style="1" customWidth="1"/>
    <col min="8226" max="8226" width="5.875" style="1" customWidth="1"/>
    <col min="8227" max="8227" width="11.125" style="1" customWidth="1"/>
    <col min="8228" max="8232" width="5.875" style="1" customWidth="1"/>
    <col min="8233" max="8233" width="8.875" style="1" customWidth="1"/>
    <col min="8234" max="8234" width="8.625" style="1" customWidth="1"/>
    <col min="8235" max="8235" width="10.625" style="1" customWidth="1"/>
    <col min="8236" max="8236" width="5.875" style="1" customWidth="1"/>
    <col min="8237" max="8237" width="7.875" style="1" customWidth="1"/>
    <col min="8238" max="8238" width="5.875" style="1" customWidth="1"/>
    <col min="8239" max="8239" width="8.125" style="1" customWidth="1"/>
    <col min="8240" max="8244" width="5.875" style="1" customWidth="1"/>
    <col min="8245" max="8448" width="9" style="1"/>
    <col min="8449" max="8449" width="3.75" style="1" customWidth="1"/>
    <col min="8450" max="8450" width="35.625" style="1" customWidth="1"/>
    <col min="8451" max="8452" width="13.75" style="1" customWidth="1"/>
    <col min="8453" max="8453" width="29.5" style="1" customWidth="1"/>
    <col min="8454" max="8454" width="13.75" style="1" customWidth="1"/>
    <col min="8455" max="8455" width="17.375" style="1" customWidth="1"/>
    <col min="8456" max="8456" width="16.125" style="1" customWidth="1"/>
    <col min="8457" max="8459" width="13.75" style="1" customWidth="1"/>
    <col min="8460" max="8460" width="18.25" style="1" customWidth="1"/>
    <col min="8461" max="8461" width="13.75" style="1" customWidth="1"/>
    <col min="8462" max="8463" width="5.875" style="1" customWidth="1"/>
    <col min="8464" max="8464" width="30.375" style="1" customWidth="1"/>
    <col min="8465" max="8465" width="17.25" style="1" customWidth="1"/>
    <col min="8466" max="8467" width="5.875" style="1" customWidth="1"/>
    <col min="8468" max="8468" width="30.375" style="1" customWidth="1"/>
    <col min="8469" max="8469" width="17.25" style="1" customWidth="1"/>
    <col min="8470" max="8471" width="5.875" style="1" customWidth="1"/>
    <col min="8472" max="8472" width="30.375" style="1" customWidth="1"/>
    <col min="8473" max="8473" width="17.25" style="1" customWidth="1"/>
    <col min="8474" max="8475" width="5.875" style="1" customWidth="1"/>
    <col min="8476" max="8476" width="49.125" style="1" customWidth="1"/>
    <col min="8477" max="8477" width="8.375" style="1" customWidth="1"/>
    <col min="8478" max="8478" width="12.375" style="1" customWidth="1"/>
    <col min="8479" max="8479" width="14.375" style="1" customWidth="1"/>
    <col min="8480" max="8480" width="5.875" style="1" customWidth="1"/>
    <col min="8481" max="8481" width="8.375" style="1" customWidth="1"/>
    <col min="8482" max="8482" width="5.875" style="1" customWidth="1"/>
    <col min="8483" max="8483" width="11.125" style="1" customWidth="1"/>
    <col min="8484" max="8488" width="5.875" style="1" customWidth="1"/>
    <col min="8489" max="8489" width="8.875" style="1" customWidth="1"/>
    <col min="8490" max="8490" width="8.625" style="1" customWidth="1"/>
    <col min="8491" max="8491" width="10.625" style="1" customWidth="1"/>
    <col min="8492" max="8492" width="5.875" style="1" customWidth="1"/>
    <col min="8493" max="8493" width="7.875" style="1" customWidth="1"/>
    <col min="8494" max="8494" width="5.875" style="1" customWidth="1"/>
    <col min="8495" max="8495" width="8.125" style="1" customWidth="1"/>
    <col min="8496" max="8500" width="5.875" style="1" customWidth="1"/>
    <col min="8501" max="8704" width="9" style="1"/>
    <col min="8705" max="8705" width="3.75" style="1" customWidth="1"/>
    <col min="8706" max="8706" width="35.625" style="1" customWidth="1"/>
    <col min="8707" max="8708" width="13.75" style="1" customWidth="1"/>
    <col min="8709" max="8709" width="29.5" style="1" customWidth="1"/>
    <col min="8710" max="8710" width="13.75" style="1" customWidth="1"/>
    <col min="8711" max="8711" width="17.375" style="1" customWidth="1"/>
    <col min="8712" max="8712" width="16.125" style="1" customWidth="1"/>
    <col min="8713" max="8715" width="13.75" style="1" customWidth="1"/>
    <col min="8716" max="8716" width="18.25" style="1" customWidth="1"/>
    <col min="8717" max="8717" width="13.75" style="1" customWidth="1"/>
    <col min="8718" max="8719" width="5.875" style="1" customWidth="1"/>
    <col min="8720" max="8720" width="30.375" style="1" customWidth="1"/>
    <col min="8721" max="8721" width="17.25" style="1" customWidth="1"/>
    <col min="8722" max="8723" width="5.875" style="1" customWidth="1"/>
    <col min="8724" max="8724" width="30.375" style="1" customWidth="1"/>
    <col min="8725" max="8725" width="17.25" style="1" customWidth="1"/>
    <col min="8726" max="8727" width="5.875" style="1" customWidth="1"/>
    <col min="8728" max="8728" width="30.375" style="1" customWidth="1"/>
    <col min="8729" max="8729" width="17.25" style="1" customWidth="1"/>
    <col min="8730" max="8731" width="5.875" style="1" customWidth="1"/>
    <col min="8732" max="8732" width="49.125" style="1" customWidth="1"/>
    <col min="8733" max="8733" width="8.375" style="1" customWidth="1"/>
    <col min="8734" max="8734" width="12.375" style="1" customWidth="1"/>
    <col min="8735" max="8735" width="14.375" style="1" customWidth="1"/>
    <col min="8736" max="8736" width="5.875" style="1" customWidth="1"/>
    <col min="8737" max="8737" width="8.375" style="1" customWidth="1"/>
    <col min="8738" max="8738" width="5.875" style="1" customWidth="1"/>
    <col min="8739" max="8739" width="11.125" style="1" customWidth="1"/>
    <col min="8740" max="8744" width="5.875" style="1" customWidth="1"/>
    <col min="8745" max="8745" width="8.875" style="1" customWidth="1"/>
    <col min="8746" max="8746" width="8.625" style="1" customWidth="1"/>
    <col min="8747" max="8747" width="10.625" style="1" customWidth="1"/>
    <col min="8748" max="8748" width="5.875" style="1" customWidth="1"/>
    <col min="8749" max="8749" width="7.875" style="1" customWidth="1"/>
    <col min="8750" max="8750" width="5.875" style="1" customWidth="1"/>
    <col min="8751" max="8751" width="8.125" style="1" customWidth="1"/>
    <col min="8752" max="8756" width="5.875" style="1" customWidth="1"/>
    <col min="8757" max="8960" width="9" style="1"/>
    <col min="8961" max="8961" width="3.75" style="1" customWidth="1"/>
    <col min="8962" max="8962" width="35.625" style="1" customWidth="1"/>
    <col min="8963" max="8964" width="13.75" style="1" customWidth="1"/>
    <col min="8965" max="8965" width="29.5" style="1" customWidth="1"/>
    <col min="8966" max="8966" width="13.75" style="1" customWidth="1"/>
    <col min="8967" max="8967" width="17.375" style="1" customWidth="1"/>
    <col min="8968" max="8968" width="16.125" style="1" customWidth="1"/>
    <col min="8969" max="8971" width="13.75" style="1" customWidth="1"/>
    <col min="8972" max="8972" width="18.25" style="1" customWidth="1"/>
    <col min="8973" max="8973" width="13.75" style="1" customWidth="1"/>
    <col min="8974" max="8975" width="5.875" style="1" customWidth="1"/>
    <col min="8976" max="8976" width="30.375" style="1" customWidth="1"/>
    <col min="8977" max="8977" width="17.25" style="1" customWidth="1"/>
    <col min="8978" max="8979" width="5.875" style="1" customWidth="1"/>
    <col min="8980" max="8980" width="30.375" style="1" customWidth="1"/>
    <col min="8981" max="8981" width="17.25" style="1" customWidth="1"/>
    <col min="8982" max="8983" width="5.875" style="1" customWidth="1"/>
    <col min="8984" max="8984" width="30.375" style="1" customWidth="1"/>
    <col min="8985" max="8985" width="17.25" style="1" customWidth="1"/>
    <col min="8986" max="8987" width="5.875" style="1" customWidth="1"/>
    <col min="8988" max="8988" width="49.125" style="1" customWidth="1"/>
    <col min="8989" max="8989" width="8.375" style="1" customWidth="1"/>
    <col min="8990" max="8990" width="12.375" style="1" customWidth="1"/>
    <col min="8991" max="8991" width="14.375" style="1" customWidth="1"/>
    <col min="8992" max="8992" width="5.875" style="1" customWidth="1"/>
    <col min="8993" max="8993" width="8.375" style="1" customWidth="1"/>
    <col min="8994" max="8994" width="5.875" style="1" customWidth="1"/>
    <col min="8995" max="8995" width="11.125" style="1" customWidth="1"/>
    <col min="8996" max="9000" width="5.875" style="1" customWidth="1"/>
    <col min="9001" max="9001" width="8.875" style="1" customWidth="1"/>
    <col min="9002" max="9002" width="8.625" style="1" customWidth="1"/>
    <col min="9003" max="9003" width="10.625" style="1" customWidth="1"/>
    <col min="9004" max="9004" width="5.875" style="1" customWidth="1"/>
    <col min="9005" max="9005" width="7.875" style="1" customWidth="1"/>
    <col min="9006" max="9006" width="5.875" style="1" customWidth="1"/>
    <col min="9007" max="9007" width="8.125" style="1" customWidth="1"/>
    <col min="9008" max="9012" width="5.875" style="1" customWidth="1"/>
    <col min="9013" max="9216" width="9" style="1"/>
    <col min="9217" max="9217" width="3.75" style="1" customWidth="1"/>
    <col min="9218" max="9218" width="35.625" style="1" customWidth="1"/>
    <col min="9219" max="9220" width="13.75" style="1" customWidth="1"/>
    <col min="9221" max="9221" width="29.5" style="1" customWidth="1"/>
    <col min="9222" max="9222" width="13.75" style="1" customWidth="1"/>
    <col min="9223" max="9223" width="17.375" style="1" customWidth="1"/>
    <col min="9224" max="9224" width="16.125" style="1" customWidth="1"/>
    <col min="9225" max="9227" width="13.75" style="1" customWidth="1"/>
    <col min="9228" max="9228" width="18.25" style="1" customWidth="1"/>
    <col min="9229" max="9229" width="13.75" style="1" customWidth="1"/>
    <col min="9230" max="9231" width="5.875" style="1" customWidth="1"/>
    <col min="9232" max="9232" width="30.375" style="1" customWidth="1"/>
    <col min="9233" max="9233" width="17.25" style="1" customWidth="1"/>
    <col min="9234" max="9235" width="5.875" style="1" customWidth="1"/>
    <col min="9236" max="9236" width="30.375" style="1" customWidth="1"/>
    <col min="9237" max="9237" width="17.25" style="1" customWidth="1"/>
    <col min="9238" max="9239" width="5.875" style="1" customWidth="1"/>
    <col min="9240" max="9240" width="30.375" style="1" customWidth="1"/>
    <col min="9241" max="9241" width="17.25" style="1" customWidth="1"/>
    <col min="9242" max="9243" width="5.875" style="1" customWidth="1"/>
    <col min="9244" max="9244" width="49.125" style="1" customWidth="1"/>
    <col min="9245" max="9245" width="8.375" style="1" customWidth="1"/>
    <col min="9246" max="9246" width="12.375" style="1" customWidth="1"/>
    <col min="9247" max="9247" width="14.375" style="1" customWidth="1"/>
    <col min="9248" max="9248" width="5.875" style="1" customWidth="1"/>
    <col min="9249" max="9249" width="8.375" style="1" customWidth="1"/>
    <col min="9250" max="9250" width="5.875" style="1" customWidth="1"/>
    <col min="9251" max="9251" width="11.125" style="1" customWidth="1"/>
    <col min="9252" max="9256" width="5.875" style="1" customWidth="1"/>
    <col min="9257" max="9257" width="8.875" style="1" customWidth="1"/>
    <col min="9258" max="9258" width="8.625" style="1" customWidth="1"/>
    <col min="9259" max="9259" width="10.625" style="1" customWidth="1"/>
    <col min="9260" max="9260" width="5.875" style="1" customWidth="1"/>
    <col min="9261" max="9261" width="7.875" style="1" customWidth="1"/>
    <col min="9262" max="9262" width="5.875" style="1" customWidth="1"/>
    <col min="9263" max="9263" width="8.125" style="1" customWidth="1"/>
    <col min="9264" max="9268" width="5.875" style="1" customWidth="1"/>
    <col min="9269" max="9472" width="9" style="1"/>
    <col min="9473" max="9473" width="3.75" style="1" customWidth="1"/>
    <col min="9474" max="9474" width="35.625" style="1" customWidth="1"/>
    <col min="9475" max="9476" width="13.75" style="1" customWidth="1"/>
    <col min="9477" max="9477" width="29.5" style="1" customWidth="1"/>
    <col min="9478" max="9478" width="13.75" style="1" customWidth="1"/>
    <col min="9479" max="9479" width="17.375" style="1" customWidth="1"/>
    <col min="9480" max="9480" width="16.125" style="1" customWidth="1"/>
    <col min="9481" max="9483" width="13.75" style="1" customWidth="1"/>
    <col min="9484" max="9484" width="18.25" style="1" customWidth="1"/>
    <col min="9485" max="9485" width="13.75" style="1" customWidth="1"/>
    <col min="9486" max="9487" width="5.875" style="1" customWidth="1"/>
    <col min="9488" max="9488" width="30.375" style="1" customWidth="1"/>
    <col min="9489" max="9489" width="17.25" style="1" customWidth="1"/>
    <col min="9490" max="9491" width="5.875" style="1" customWidth="1"/>
    <col min="9492" max="9492" width="30.375" style="1" customWidth="1"/>
    <col min="9493" max="9493" width="17.25" style="1" customWidth="1"/>
    <col min="9494" max="9495" width="5.875" style="1" customWidth="1"/>
    <col min="9496" max="9496" width="30.375" style="1" customWidth="1"/>
    <col min="9497" max="9497" width="17.25" style="1" customWidth="1"/>
    <col min="9498" max="9499" width="5.875" style="1" customWidth="1"/>
    <col min="9500" max="9500" width="49.125" style="1" customWidth="1"/>
    <col min="9501" max="9501" width="8.375" style="1" customWidth="1"/>
    <col min="9502" max="9502" width="12.375" style="1" customWidth="1"/>
    <col min="9503" max="9503" width="14.375" style="1" customWidth="1"/>
    <col min="9504" max="9504" width="5.875" style="1" customWidth="1"/>
    <col min="9505" max="9505" width="8.375" style="1" customWidth="1"/>
    <col min="9506" max="9506" width="5.875" style="1" customWidth="1"/>
    <col min="9507" max="9507" width="11.125" style="1" customWidth="1"/>
    <col min="9508" max="9512" width="5.875" style="1" customWidth="1"/>
    <col min="9513" max="9513" width="8.875" style="1" customWidth="1"/>
    <col min="9514" max="9514" width="8.625" style="1" customWidth="1"/>
    <col min="9515" max="9515" width="10.625" style="1" customWidth="1"/>
    <col min="9516" max="9516" width="5.875" style="1" customWidth="1"/>
    <col min="9517" max="9517" width="7.875" style="1" customWidth="1"/>
    <col min="9518" max="9518" width="5.875" style="1" customWidth="1"/>
    <col min="9519" max="9519" width="8.125" style="1" customWidth="1"/>
    <col min="9520" max="9524" width="5.875" style="1" customWidth="1"/>
    <col min="9525" max="9728" width="9" style="1"/>
    <col min="9729" max="9729" width="3.75" style="1" customWidth="1"/>
    <col min="9730" max="9730" width="35.625" style="1" customWidth="1"/>
    <col min="9731" max="9732" width="13.75" style="1" customWidth="1"/>
    <col min="9733" max="9733" width="29.5" style="1" customWidth="1"/>
    <col min="9734" max="9734" width="13.75" style="1" customWidth="1"/>
    <col min="9735" max="9735" width="17.375" style="1" customWidth="1"/>
    <col min="9736" max="9736" width="16.125" style="1" customWidth="1"/>
    <col min="9737" max="9739" width="13.75" style="1" customWidth="1"/>
    <col min="9740" max="9740" width="18.25" style="1" customWidth="1"/>
    <col min="9741" max="9741" width="13.75" style="1" customWidth="1"/>
    <col min="9742" max="9743" width="5.875" style="1" customWidth="1"/>
    <col min="9744" max="9744" width="30.375" style="1" customWidth="1"/>
    <col min="9745" max="9745" width="17.25" style="1" customWidth="1"/>
    <col min="9746" max="9747" width="5.875" style="1" customWidth="1"/>
    <col min="9748" max="9748" width="30.375" style="1" customWidth="1"/>
    <col min="9749" max="9749" width="17.25" style="1" customWidth="1"/>
    <col min="9750" max="9751" width="5.875" style="1" customWidth="1"/>
    <col min="9752" max="9752" width="30.375" style="1" customWidth="1"/>
    <col min="9753" max="9753" width="17.25" style="1" customWidth="1"/>
    <col min="9754" max="9755" width="5.875" style="1" customWidth="1"/>
    <col min="9756" max="9756" width="49.125" style="1" customWidth="1"/>
    <col min="9757" max="9757" width="8.375" style="1" customWidth="1"/>
    <col min="9758" max="9758" width="12.375" style="1" customWidth="1"/>
    <col min="9759" max="9759" width="14.375" style="1" customWidth="1"/>
    <col min="9760" max="9760" width="5.875" style="1" customWidth="1"/>
    <col min="9761" max="9761" width="8.375" style="1" customWidth="1"/>
    <col min="9762" max="9762" width="5.875" style="1" customWidth="1"/>
    <col min="9763" max="9763" width="11.125" style="1" customWidth="1"/>
    <col min="9764" max="9768" width="5.875" style="1" customWidth="1"/>
    <col min="9769" max="9769" width="8.875" style="1" customWidth="1"/>
    <col min="9770" max="9770" width="8.625" style="1" customWidth="1"/>
    <col min="9771" max="9771" width="10.625" style="1" customWidth="1"/>
    <col min="9772" max="9772" width="5.875" style="1" customWidth="1"/>
    <col min="9773" max="9773" width="7.875" style="1" customWidth="1"/>
    <col min="9774" max="9774" width="5.875" style="1" customWidth="1"/>
    <col min="9775" max="9775" width="8.125" style="1" customWidth="1"/>
    <col min="9776" max="9780" width="5.875" style="1" customWidth="1"/>
    <col min="9781" max="9984" width="9" style="1"/>
    <col min="9985" max="9985" width="3.75" style="1" customWidth="1"/>
    <col min="9986" max="9986" width="35.625" style="1" customWidth="1"/>
    <col min="9987" max="9988" width="13.75" style="1" customWidth="1"/>
    <col min="9989" max="9989" width="29.5" style="1" customWidth="1"/>
    <col min="9990" max="9990" width="13.75" style="1" customWidth="1"/>
    <col min="9991" max="9991" width="17.375" style="1" customWidth="1"/>
    <col min="9992" max="9992" width="16.125" style="1" customWidth="1"/>
    <col min="9993" max="9995" width="13.75" style="1" customWidth="1"/>
    <col min="9996" max="9996" width="18.25" style="1" customWidth="1"/>
    <col min="9997" max="9997" width="13.75" style="1" customWidth="1"/>
    <col min="9998" max="9999" width="5.875" style="1" customWidth="1"/>
    <col min="10000" max="10000" width="30.375" style="1" customWidth="1"/>
    <col min="10001" max="10001" width="17.25" style="1" customWidth="1"/>
    <col min="10002" max="10003" width="5.875" style="1" customWidth="1"/>
    <col min="10004" max="10004" width="30.375" style="1" customWidth="1"/>
    <col min="10005" max="10005" width="17.25" style="1" customWidth="1"/>
    <col min="10006" max="10007" width="5.875" style="1" customWidth="1"/>
    <col min="10008" max="10008" width="30.375" style="1" customWidth="1"/>
    <col min="10009" max="10009" width="17.25" style="1" customWidth="1"/>
    <col min="10010" max="10011" width="5.875" style="1" customWidth="1"/>
    <col min="10012" max="10012" width="49.125" style="1" customWidth="1"/>
    <col min="10013" max="10013" width="8.375" style="1" customWidth="1"/>
    <col min="10014" max="10014" width="12.375" style="1" customWidth="1"/>
    <col min="10015" max="10015" width="14.375" style="1" customWidth="1"/>
    <col min="10016" max="10016" width="5.875" style="1" customWidth="1"/>
    <col min="10017" max="10017" width="8.375" style="1" customWidth="1"/>
    <col min="10018" max="10018" width="5.875" style="1" customWidth="1"/>
    <col min="10019" max="10019" width="11.125" style="1" customWidth="1"/>
    <col min="10020" max="10024" width="5.875" style="1" customWidth="1"/>
    <col min="10025" max="10025" width="8.875" style="1" customWidth="1"/>
    <col min="10026" max="10026" width="8.625" style="1" customWidth="1"/>
    <col min="10027" max="10027" width="10.625" style="1" customWidth="1"/>
    <col min="10028" max="10028" width="5.875" style="1" customWidth="1"/>
    <col min="10029" max="10029" width="7.875" style="1" customWidth="1"/>
    <col min="10030" max="10030" width="5.875" style="1" customWidth="1"/>
    <col min="10031" max="10031" width="8.125" style="1" customWidth="1"/>
    <col min="10032" max="10036" width="5.875" style="1" customWidth="1"/>
    <col min="10037" max="10240" width="9" style="1"/>
    <col min="10241" max="10241" width="3.75" style="1" customWidth="1"/>
    <col min="10242" max="10242" width="35.625" style="1" customWidth="1"/>
    <col min="10243" max="10244" width="13.75" style="1" customWidth="1"/>
    <col min="10245" max="10245" width="29.5" style="1" customWidth="1"/>
    <col min="10246" max="10246" width="13.75" style="1" customWidth="1"/>
    <col min="10247" max="10247" width="17.375" style="1" customWidth="1"/>
    <col min="10248" max="10248" width="16.125" style="1" customWidth="1"/>
    <col min="10249" max="10251" width="13.75" style="1" customWidth="1"/>
    <col min="10252" max="10252" width="18.25" style="1" customWidth="1"/>
    <col min="10253" max="10253" width="13.75" style="1" customWidth="1"/>
    <col min="10254" max="10255" width="5.875" style="1" customWidth="1"/>
    <col min="10256" max="10256" width="30.375" style="1" customWidth="1"/>
    <col min="10257" max="10257" width="17.25" style="1" customWidth="1"/>
    <col min="10258" max="10259" width="5.875" style="1" customWidth="1"/>
    <col min="10260" max="10260" width="30.375" style="1" customWidth="1"/>
    <col min="10261" max="10261" width="17.25" style="1" customWidth="1"/>
    <col min="10262" max="10263" width="5.875" style="1" customWidth="1"/>
    <col min="10264" max="10264" width="30.375" style="1" customWidth="1"/>
    <col min="10265" max="10265" width="17.25" style="1" customWidth="1"/>
    <col min="10266" max="10267" width="5.875" style="1" customWidth="1"/>
    <col min="10268" max="10268" width="49.125" style="1" customWidth="1"/>
    <col min="10269" max="10269" width="8.375" style="1" customWidth="1"/>
    <col min="10270" max="10270" width="12.375" style="1" customWidth="1"/>
    <col min="10271" max="10271" width="14.375" style="1" customWidth="1"/>
    <col min="10272" max="10272" width="5.875" style="1" customWidth="1"/>
    <col min="10273" max="10273" width="8.375" style="1" customWidth="1"/>
    <col min="10274" max="10274" width="5.875" style="1" customWidth="1"/>
    <col min="10275" max="10275" width="11.125" style="1" customWidth="1"/>
    <col min="10276" max="10280" width="5.875" style="1" customWidth="1"/>
    <col min="10281" max="10281" width="8.875" style="1" customWidth="1"/>
    <col min="10282" max="10282" width="8.625" style="1" customWidth="1"/>
    <col min="10283" max="10283" width="10.625" style="1" customWidth="1"/>
    <col min="10284" max="10284" width="5.875" style="1" customWidth="1"/>
    <col min="10285" max="10285" width="7.875" style="1" customWidth="1"/>
    <col min="10286" max="10286" width="5.875" style="1" customWidth="1"/>
    <col min="10287" max="10287" width="8.125" style="1" customWidth="1"/>
    <col min="10288" max="10292" width="5.875" style="1" customWidth="1"/>
    <col min="10293" max="10496" width="9" style="1"/>
    <col min="10497" max="10497" width="3.75" style="1" customWidth="1"/>
    <col min="10498" max="10498" width="35.625" style="1" customWidth="1"/>
    <col min="10499" max="10500" width="13.75" style="1" customWidth="1"/>
    <col min="10501" max="10501" width="29.5" style="1" customWidth="1"/>
    <col min="10502" max="10502" width="13.75" style="1" customWidth="1"/>
    <col min="10503" max="10503" width="17.375" style="1" customWidth="1"/>
    <col min="10504" max="10504" width="16.125" style="1" customWidth="1"/>
    <col min="10505" max="10507" width="13.75" style="1" customWidth="1"/>
    <col min="10508" max="10508" width="18.25" style="1" customWidth="1"/>
    <col min="10509" max="10509" width="13.75" style="1" customWidth="1"/>
    <col min="10510" max="10511" width="5.875" style="1" customWidth="1"/>
    <col min="10512" max="10512" width="30.375" style="1" customWidth="1"/>
    <col min="10513" max="10513" width="17.25" style="1" customWidth="1"/>
    <col min="10514" max="10515" width="5.875" style="1" customWidth="1"/>
    <col min="10516" max="10516" width="30.375" style="1" customWidth="1"/>
    <col min="10517" max="10517" width="17.25" style="1" customWidth="1"/>
    <col min="10518" max="10519" width="5.875" style="1" customWidth="1"/>
    <col min="10520" max="10520" width="30.375" style="1" customWidth="1"/>
    <col min="10521" max="10521" width="17.25" style="1" customWidth="1"/>
    <col min="10522" max="10523" width="5.875" style="1" customWidth="1"/>
    <col min="10524" max="10524" width="49.125" style="1" customWidth="1"/>
    <col min="10525" max="10525" width="8.375" style="1" customWidth="1"/>
    <col min="10526" max="10526" width="12.375" style="1" customWidth="1"/>
    <col min="10527" max="10527" width="14.375" style="1" customWidth="1"/>
    <col min="10528" max="10528" width="5.875" style="1" customWidth="1"/>
    <col min="10529" max="10529" width="8.375" style="1" customWidth="1"/>
    <col min="10530" max="10530" width="5.875" style="1" customWidth="1"/>
    <col min="10531" max="10531" width="11.125" style="1" customWidth="1"/>
    <col min="10532" max="10536" width="5.875" style="1" customWidth="1"/>
    <col min="10537" max="10537" width="8.875" style="1" customWidth="1"/>
    <col min="10538" max="10538" width="8.625" style="1" customWidth="1"/>
    <col min="10539" max="10539" width="10.625" style="1" customWidth="1"/>
    <col min="10540" max="10540" width="5.875" style="1" customWidth="1"/>
    <col min="10541" max="10541" width="7.875" style="1" customWidth="1"/>
    <col min="10542" max="10542" width="5.875" style="1" customWidth="1"/>
    <col min="10543" max="10543" width="8.125" style="1" customWidth="1"/>
    <col min="10544" max="10548" width="5.875" style="1" customWidth="1"/>
    <col min="10549" max="10752" width="9" style="1"/>
    <col min="10753" max="10753" width="3.75" style="1" customWidth="1"/>
    <col min="10754" max="10754" width="35.625" style="1" customWidth="1"/>
    <col min="10755" max="10756" width="13.75" style="1" customWidth="1"/>
    <col min="10757" max="10757" width="29.5" style="1" customWidth="1"/>
    <col min="10758" max="10758" width="13.75" style="1" customWidth="1"/>
    <col min="10759" max="10759" width="17.375" style="1" customWidth="1"/>
    <col min="10760" max="10760" width="16.125" style="1" customWidth="1"/>
    <col min="10761" max="10763" width="13.75" style="1" customWidth="1"/>
    <col min="10764" max="10764" width="18.25" style="1" customWidth="1"/>
    <col min="10765" max="10765" width="13.75" style="1" customWidth="1"/>
    <col min="10766" max="10767" width="5.875" style="1" customWidth="1"/>
    <col min="10768" max="10768" width="30.375" style="1" customWidth="1"/>
    <col min="10769" max="10769" width="17.25" style="1" customWidth="1"/>
    <col min="10770" max="10771" width="5.875" style="1" customWidth="1"/>
    <col min="10772" max="10772" width="30.375" style="1" customWidth="1"/>
    <col min="10773" max="10773" width="17.25" style="1" customWidth="1"/>
    <col min="10774" max="10775" width="5.875" style="1" customWidth="1"/>
    <col min="10776" max="10776" width="30.375" style="1" customWidth="1"/>
    <col min="10777" max="10777" width="17.25" style="1" customWidth="1"/>
    <col min="10778" max="10779" width="5.875" style="1" customWidth="1"/>
    <col min="10780" max="10780" width="49.125" style="1" customWidth="1"/>
    <col min="10781" max="10781" width="8.375" style="1" customWidth="1"/>
    <col min="10782" max="10782" width="12.375" style="1" customWidth="1"/>
    <col min="10783" max="10783" width="14.375" style="1" customWidth="1"/>
    <col min="10784" max="10784" width="5.875" style="1" customWidth="1"/>
    <col min="10785" max="10785" width="8.375" style="1" customWidth="1"/>
    <col min="10786" max="10786" width="5.875" style="1" customWidth="1"/>
    <col min="10787" max="10787" width="11.125" style="1" customWidth="1"/>
    <col min="10788" max="10792" width="5.875" style="1" customWidth="1"/>
    <col min="10793" max="10793" width="8.875" style="1" customWidth="1"/>
    <col min="10794" max="10794" width="8.625" style="1" customWidth="1"/>
    <col min="10795" max="10795" width="10.625" style="1" customWidth="1"/>
    <col min="10796" max="10796" width="5.875" style="1" customWidth="1"/>
    <col min="10797" max="10797" width="7.875" style="1" customWidth="1"/>
    <col min="10798" max="10798" width="5.875" style="1" customWidth="1"/>
    <col min="10799" max="10799" width="8.125" style="1" customWidth="1"/>
    <col min="10800" max="10804" width="5.875" style="1" customWidth="1"/>
    <col min="10805" max="11008" width="9" style="1"/>
    <col min="11009" max="11009" width="3.75" style="1" customWidth="1"/>
    <col min="11010" max="11010" width="35.625" style="1" customWidth="1"/>
    <col min="11011" max="11012" width="13.75" style="1" customWidth="1"/>
    <col min="11013" max="11013" width="29.5" style="1" customWidth="1"/>
    <col min="11014" max="11014" width="13.75" style="1" customWidth="1"/>
    <col min="11015" max="11015" width="17.375" style="1" customWidth="1"/>
    <col min="11016" max="11016" width="16.125" style="1" customWidth="1"/>
    <col min="11017" max="11019" width="13.75" style="1" customWidth="1"/>
    <col min="11020" max="11020" width="18.25" style="1" customWidth="1"/>
    <col min="11021" max="11021" width="13.75" style="1" customWidth="1"/>
    <col min="11022" max="11023" width="5.875" style="1" customWidth="1"/>
    <col min="11024" max="11024" width="30.375" style="1" customWidth="1"/>
    <col min="11025" max="11025" width="17.25" style="1" customWidth="1"/>
    <col min="11026" max="11027" width="5.875" style="1" customWidth="1"/>
    <col min="11028" max="11028" width="30.375" style="1" customWidth="1"/>
    <col min="11029" max="11029" width="17.25" style="1" customWidth="1"/>
    <col min="11030" max="11031" width="5.875" style="1" customWidth="1"/>
    <col min="11032" max="11032" width="30.375" style="1" customWidth="1"/>
    <col min="11033" max="11033" width="17.25" style="1" customWidth="1"/>
    <col min="11034" max="11035" width="5.875" style="1" customWidth="1"/>
    <col min="11036" max="11036" width="49.125" style="1" customWidth="1"/>
    <col min="11037" max="11037" width="8.375" style="1" customWidth="1"/>
    <col min="11038" max="11038" width="12.375" style="1" customWidth="1"/>
    <col min="11039" max="11039" width="14.375" style="1" customWidth="1"/>
    <col min="11040" max="11040" width="5.875" style="1" customWidth="1"/>
    <col min="11041" max="11041" width="8.375" style="1" customWidth="1"/>
    <col min="11042" max="11042" width="5.875" style="1" customWidth="1"/>
    <col min="11043" max="11043" width="11.125" style="1" customWidth="1"/>
    <col min="11044" max="11048" width="5.875" style="1" customWidth="1"/>
    <col min="11049" max="11049" width="8.875" style="1" customWidth="1"/>
    <col min="11050" max="11050" width="8.625" style="1" customWidth="1"/>
    <col min="11051" max="11051" width="10.625" style="1" customWidth="1"/>
    <col min="11052" max="11052" width="5.875" style="1" customWidth="1"/>
    <col min="11053" max="11053" width="7.875" style="1" customWidth="1"/>
    <col min="11054" max="11054" width="5.875" style="1" customWidth="1"/>
    <col min="11055" max="11055" width="8.125" style="1" customWidth="1"/>
    <col min="11056" max="11060" width="5.875" style="1" customWidth="1"/>
    <col min="11061" max="11264" width="9" style="1"/>
    <col min="11265" max="11265" width="3.75" style="1" customWidth="1"/>
    <col min="11266" max="11266" width="35.625" style="1" customWidth="1"/>
    <col min="11267" max="11268" width="13.75" style="1" customWidth="1"/>
    <col min="11269" max="11269" width="29.5" style="1" customWidth="1"/>
    <col min="11270" max="11270" width="13.75" style="1" customWidth="1"/>
    <col min="11271" max="11271" width="17.375" style="1" customWidth="1"/>
    <col min="11272" max="11272" width="16.125" style="1" customWidth="1"/>
    <col min="11273" max="11275" width="13.75" style="1" customWidth="1"/>
    <col min="11276" max="11276" width="18.25" style="1" customWidth="1"/>
    <col min="11277" max="11277" width="13.75" style="1" customWidth="1"/>
    <col min="11278" max="11279" width="5.875" style="1" customWidth="1"/>
    <col min="11280" max="11280" width="30.375" style="1" customWidth="1"/>
    <col min="11281" max="11281" width="17.25" style="1" customWidth="1"/>
    <col min="11282" max="11283" width="5.875" style="1" customWidth="1"/>
    <col min="11284" max="11284" width="30.375" style="1" customWidth="1"/>
    <col min="11285" max="11285" width="17.25" style="1" customWidth="1"/>
    <col min="11286" max="11287" width="5.875" style="1" customWidth="1"/>
    <col min="11288" max="11288" width="30.375" style="1" customWidth="1"/>
    <col min="11289" max="11289" width="17.25" style="1" customWidth="1"/>
    <col min="11290" max="11291" width="5.875" style="1" customWidth="1"/>
    <col min="11292" max="11292" width="49.125" style="1" customWidth="1"/>
    <col min="11293" max="11293" width="8.375" style="1" customWidth="1"/>
    <col min="11294" max="11294" width="12.375" style="1" customWidth="1"/>
    <col min="11295" max="11295" width="14.375" style="1" customWidth="1"/>
    <col min="11296" max="11296" width="5.875" style="1" customWidth="1"/>
    <col min="11297" max="11297" width="8.375" style="1" customWidth="1"/>
    <col min="11298" max="11298" width="5.875" style="1" customWidth="1"/>
    <col min="11299" max="11299" width="11.125" style="1" customWidth="1"/>
    <col min="11300" max="11304" width="5.875" style="1" customWidth="1"/>
    <col min="11305" max="11305" width="8.875" style="1" customWidth="1"/>
    <col min="11306" max="11306" width="8.625" style="1" customWidth="1"/>
    <col min="11307" max="11307" width="10.625" style="1" customWidth="1"/>
    <col min="11308" max="11308" width="5.875" style="1" customWidth="1"/>
    <col min="11309" max="11309" width="7.875" style="1" customWidth="1"/>
    <col min="11310" max="11310" width="5.875" style="1" customWidth="1"/>
    <col min="11311" max="11311" width="8.125" style="1" customWidth="1"/>
    <col min="11312" max="11316" width="5.875" style="1" customWidth="1"/>
    <col min="11317" max="11520" width="9" style="1"/>
    <col min="11521" max="11521" width="3.75" style="1" customWidth="1"/>
    <col min="11522" max="11522" width="35.625" style="1" customWidth="1"/>
    <col min="11523" max="11524" width="13.75" style="1" customWidth="1"/>
    <col min="11525" max="11525" width="29.5" style="1" customWidth="1"/>
    <col min="11526" max="11526" width="13.75" style="1" customWidth="1"/>
    <col min="11527" max="11527" width="17.375" style="1" customWidth="1"/>
    <col min="11528" max="11528" width="16.125" style="1" customWidth="1"/>
    <col min="11529" max="11531" width="13.75" style="1" customWidth="1"/>
    <col min="11532" max="11532" width="18.25" style="1" customWidth="1"/>
    <col min="11533" max="11533" width="13.75" style="1" customWidth="1"/>
    <col min="11534" max="11535" width="5.875" style="1" customWidth="1"/>
    <col min="11536" max="11536" width="30.375" style="1" customWidth="1"/>
    <col min="11537" max="11537" width="17.25" style="1" customWidth="1"/>
    <col min="11538" max="11539" width="5.875" style="1" customWidth="1"/>
    <col min="11540" max="11540" width="30.375" style="1" customWidth="1"/>
    <col min="11541" max="11541" width="17.25" style="1" customWidth="1"/>
    <col min="11542" max="11543" width="5.875" style="1" customWidth="1"/>
    <col min="11544" max="11544" width="30.375" style="1" customWidth="1"/>
    <col min="11545" max="11545" width="17.25" style="1" customWidth="1"/>
    <col min="11546" max="11547" width="5.875" style="1" customWidth="1"/>
    <col min="11548" max="11548" width="49.125" style="1" customWidth="1"/>
    <col min="11549" max="11549" width="8.375" style="1" customWidth="1"/>
    <col min="11550" max="11550" width="12.375" style="1" customWidth="1"/>
    <col min="11551" max="11551" width="14.375" style="1" customWidth="1"/>
    <col min="11552" max="11552" width="5.875" style="1" customWidth="1"/>
    <col min="11553" max="11553" width="8.375" style="1" customWidth="1"/>
    <col min="11554" max="11554" width="5.875" style="1" customWidth="1"/>
    <col min="11555" max="11555" width="11.125" style="1" customWidth="1"/>
    <col min="11556" max="11560" width="5.875" style="1" customWidth="1"/>
    <col min="11561" max="11561" width="8.875" style="1" customWidth="1"/>
    <col min="11562" max="11562" width="8.625" style="1" customWidth="1"/>
    <col min="11563" max="11563" width="10.625" style="1" customWidth="1"/>
    <col min="11564" max="11564" width="5.875" style="1" customWidth="1"/>
    <col min="11565" max="11565" width="7.875" style="1" customWidth="1"/>
    <col min="11566" max="11566" width="5.875" style="1" customWidth="1"/>
    <col min="11567" max="11567" width="8.125" style="1" customWidth="1"/>
    <col min="11568" max="11572" width="5.875" style="1" customWidth="1"/>
    <col min="11573" max="11776" width="9" style="1"/>
    <col min="11777" max="11777" width="3.75" style="1" customWidth="1"/>
    <col min="11778" max="11778" width="35.625" style="1" customWidth="1"/>
    <col min="11779" max="11780" width="13.75" style="1" customWidth="1"/>
    <col min="11781" max="11781" width="29.5" style="1" customWidth="1"/>
    <col min="11782" max="11782" width="13.75" style="1" customWidth="1"/>
    <col min="11783" max="11783" width="17.375" style="1" customWidth="1"/>
    <col min="11784" max="11784" width="16.125" style="1" customWidth="1"/>
    <col min="11785" max="11787" width="13.75" style="1" customWidth="1"/>
    <col min="11788" max="11788" width="18.25" style="1" customWidth="1"/>
    <col min="11789" max="11789" width="13.75" style="1" customWidth="1"/>
    <col min="11790" max="11791" width="5.875" style="1" customWidth="1"/>
    <col min="11792" max="11792" width="30.375" style="1" customWidth="1"/>
    <col min="11793" max="11793" width="17.25" style="1" customWidth="1"/>
    <col min="11794" max="11795" width="5.875" style="1" customWidth="1"/>
    <col min="11796" max="11796" width="30.375" style="1" customWidth="1"/>
    <col min="11797" max="11797" width="17.25" style="1" customWidth="1"/>
    <col min="11798" max="11799" width="5.875" style="1" customWidth="1"/>
    <col min="11800" max="11800" width="30.375" style="1" customWidth="1"/>
    <col min="11801" max="11801" width="17.25" style="1" customWidth="1"/>
    <col min="11802" max="11803" width="5.875" style="1" customWidth="1"/>
    <col min="11804" max="11804" width="49.125" style="1" customWidth="1"/>
    <col min="11805" max="11805" width="8.375" style="1" customWidth="1"/>
    <col min="11806" max="11806" width="12.375" style="1" customWidth="1"/>
    <col min="11807" max="11807" width="14.375" style="1" customWidth="1"/>
    <col min="11808" max="11808" width="5.875" style="1" customWidth="1"/>
    <col min="11809" max="11809" width="8.375" style="1" customWidth="1"/>
    <col min="11810" max="11810" width="5.875" style="1" customWidth="1"/>
    <col min="11811" max="11811" width="11.125" style="1" customWidth="1"/>
    <col min="11812" max="11816" width="5.875" style="1" customWidth="1"/>
    <col min="11817" max="11817" width="8.875" style="1" customWidth="1"/>
    <col min="11818" max="11818" width="8.625" style="1" customWidth="1"/>
    <col min="11819" max="11819" width="10.625" style="1" customWidth="1"/>
    <col min="11820" max="11820" width="5.875" style="1" customWidth="1"/>
    <col min="11821" max="11821" width="7.875" style="1" customWidth="1"/>
    <col min="11822" max="11822" width="5.875" style="1" customWidth="1"/>
    <col min="11823" max="11823" width="8.125" style="1" customWidth="1"/>
    <col min="11824" max="11828" width="5.875" style="1" customWidth="1"/>
    <col min="11829" max="12032" width="9" style="1"/>
    <col min="12033" max="12033" width="3.75" style="1" customWidth="1"/>
    <col min="12034" max="12034" width="35.625" style="1" customWidth="1"/>
    <col min="12035" max="12036" width="13.75" style="1" customWidth="1"/>
    <col min="12037" max="12037" width="29.5" style="1" customWidth="1"/>
    <col min="12038" max="12038" width="13.75" style="1" customWidth="1"/>
    <col min="12039" max="12039" width="17.375" style="1" customWidth="1"/>
    <col min="12040" max="12040" width="16.125" style="1" customWidth="1"/>
    <col min="12041" max="12043" width="13.75" style="1" customWidth="1"/>
    <col min="12044" max="12044" width="18.25" style="1" customWidth="1"/>
    <col min="12045" max="12045" width="13.75" style="1" customWidth="1"/>
    <col min="12046" max="12047" width="5.875" style="1" customWidth="1"/>
    <col min="12048" max="12048" width="30.375" style="1" customWidth="1"/>
    <col min="12049" max="12049" width="17.25" style="1" customWidth="1"/>
    <col min="12050" max="12051" width="5.875" style="1" customWidth="1"/>
    <col min="12052" max="12052" width="30.375" style="1" customWidth="1"/>
    <col min="12053" max="12053" width="17.25" style="1" customWidth="1"/>
    <col min="12054" max="12055" width="5.875" style="1" customWidth="1"/>
    <col min="12056" max="12056" width="30.375" style="1" customWidth="1"/>
    <col min="12057" max="12057" width="17.25" style="1" customWidth="1"/>
    <col min="12058" max="12059" width="5.875" style="1" customWidth="1"/>
    <col min="12060" max="12060" width="49.125" style="1" customWidth="1"/>
    <col min="12061" max="12061" width="8.375" style="1" customWidth="1"/>
    <col min="12062" max="12062" width="12.375" style="1" customWidth="1"/>
    <col min="12063" max="12063" width="14.375" style="1" customWidth="1"/>
    <col min="12064" max="12064" width="5.875" style="1" customWidth="1"/>
    <col min="12065" max="12065" width="8.375" style="1" customWidth="1"/>
    <col min="12066" max="12066" width="5.875" style="1" customWidth="1"/>
    <col min="12067" max="12067" width="11.125" style="1" customWidth="1"/>
    <col min="12068" max="12072" width="5.875" style="1" customWidth="1"/>
    <col min="12073" max="12073" width="8.875" style="1" customWidth="1"/>
    <col min="12074" max="12074" width="8.625" style="1" customWidth="1"/>
    <col min="12075" max="12075" width="10.625" style="1" customWidth="1"/>
    <col min="12076" max="12076" width="5.875" style="1" customWidth="1"/>
    <col min="12077" max="12077" width="7.875" style="1" customWidth="1"/>
    <col min="12078" max="12078" width="5.875" style="1" customWidth="1"/>
    <col min="12079" max="12079" width="8.125" style="1" customWidth="1"/>
    <col min="12080" max="12084" width="5.875" style="1" customWidth="1"/>
    <col min="12085" max="12288" width="9" style="1"/>
    <col min="12289" max="12289" width="3.75" style="1" customWidth="1"/>
    <col min="12290" max="12290" width="35.625" style="1" customWidth="1"/>
    <col min="12291" max="12292" width="13.75" style="1" customWidth="1"/>
    <col min="12293" max="12293" width="29.5" style="1" customWidth="1"/>
    <col min="12294" max="12294" width="13.75" style="1" customWidth="1"/>
    <col min="12295" max="12295" width="17.375" style="1" customWidth="1"/>
    <col min="12296" max="12296" width="16.125" style="1" customWidth="1"/>
    <col min="12297" max="12299" width="13.75" style="1" customWidth="1"/>
    <col min="12300" max="12300" width="18.25" style="1" customWidth="1"/>
    <col min="12301" max="12301" width="13.75" style="1" customWidth="1"/>
    <col min="12302" max="12303" width="5.875" style="1" customWidth="1"/>
    <col min="12304" max="12304" width="30.375" style="1" customWidth="1"/>
    <col min="12305" max="12305" width="17.25" style="1" customWidth="1"/>
    <col min="12306" max="12307" width="5.875" style="1" customWidth="1"/>
    <col min="12308" max="12308" width="30.375" style="1" customWidth="1"/>
    <col min="12309" max="12309" width="17.25" style="1" customWidth="1"/>
    <col min="12310" max="12311" width="5.875" style="1" customWidth="1"/>
    <col min="12312" max="12312" width="30.375" style="1" customWidth="1"/>
    <col min="12313" max="12313" width="17.25" style="1" customWidth="1"/>
    <col min="12314" max="12315" width="5.875" style="1" customWidth="1"/>
    <col min="12316" max="12316" width="49.125" style="1" customWidth="1"/>
    <col min="12317" max="12317" width="8.375" style="1" customWidth="1"/>
    <col min="12318" max="12318" width="12.375" style="1" customWidth="1"/>
    <col min="12319" max="12319" width="14.375" style="1" customWidth="1"/>
    <col min="12320" max="12320" width="5.875" style="1" customWidth="1"/>
    <col min="12321" max="12321" width="8.375" style="1" customWidth="1"/>
    <col min="12322" max="12322" width="5.875" style="1" customWidth="1"/>
    <col min="12323" max="12323" width="11.125" style="1" customWidth="1"/>
    <col min="12324" max="12328" width="5.875" style="1" customWidth="1"/>
    <col min="12329" max="12329" width="8.875" style="1" customWidth="1"/>
    <col min="12330" max="12330" width="8.625" style="1" customWidth="1"/>
    <col min="12331" max="12331" width="10.625" style="1" customWidth="1"/>
    <col min="12332" max="12332" width="5.875" style="1" customWidth="1"/>
    <col min="12333" max="12333" width="7.875" style="1" customWidth="1"/>
    <col min="12334" max="12334" width="5.875" style="1" customWidth="1"/>
    <col min="12335" max="12335" width="8.125" style="1" customWidth="1"/>
    <col min="12336" max="12340" width="5.875" style="1" customWidth="1"/>
    <col min="12341" max="12544" width="9" style="1"/>
    <col min="12545" max="12545" width="3.75" style="1" customWidth="1"/>
    <col min="12546" max="12546" width="35.625" style="1" customWidth="1"/>
    <col min="12547" max="12548" width="13.75" style="1" customWidth="1"/>
    <col min="12549" max="12549" width="29.5" style="1" customWidth="1"/>
    <col min="12550" max="12550" width="13.75" style="1" customWidth="1"/>
    <col min="12551" max="12551" width="17.375" style="1" customWidth="1"/>
    <col min="12552" max="12552" width="16.125" style="1" customWidth="1"/>
    <col min="12553" max="12555" width="13.75" style="1" customWidth="1"/>
    <col min="12556" max="12556" width="18.25" style="1" customWidth="1"/>
    <col min="12557" max="12557" width="13.75" style="1" customWidth="1"/>
    <col min="12558" max="12559" width="5.875" style="1" customWidth="1"/>
    <col min="12560" max="12560" width="30.375" style="1" customWidth="1"/>
    <col min="12561" max="12561" width="17.25" style="1" customWidth="1"/>
    <col min="12562" max="12563" width="5.875" style="1" customWidth="1"/>
    <col min="12564" max="12564" width="30.375" style="1" customWidth="1"/>
    <col min="12565" max="12565" width="17.25" style="1" customWidth="1"/>
    <col min="12566" max="12567" width="5.875" style="1" customWidth="1"/>
    <col min="12568" max="12568" width="30.375" style="1" customWidth="1"/>
    <col min="12569" max="12569" width="17.25" style="1" customWidth="1"/>
    <col min="12570" max="12571" width="5.875" style="1" customWidth="1"/>
    <col min="12572" max="12572" width="49.125" style="1" customWidth="1"/>
    <col min="12573" max="12573" width="8.375" style="1" customWidth="1"/>
    <col min="12574" max="12574" width="12.375" style="1" customWidth="1"/>
    <col min="12575" max="12575" width="14.375" style="1" customWidth="1"/>
    <col min="12576" max="12576" width="5.875" style="1" customWidth="1"/>
    <col min="12577" max="12577" width="8.375" style="1" customWidth="1"/>
    <col min="12578" max="12578" width="5.875" style="1" customWidth="1"/>
    <col min="12579" max="12579" width="11.125" style="1" customWidth="1"/>
    <col min="12580" max="12584" width="5.875" style="1" customWidth="1"/>
    <col min="12585" max="12585" width="8.875" style="1" customWidth="1"/>
    <col min="12586" max="12586" width="8.625" style="1" customWidth="1"/>
    <col min="12587" max="12587" width="10.625" style="1" customWidth="1"/>
    <col min="12588" max="12588" width="5.875" style="1" customWidth="1"/>
    <col min="12589" max="12589" width="7.875" style="1" customWidth="1"/>
    <col min="12590" max="12590" width="5.875" style="1" customWidth="1"/>
    <col min="12591" max="12591" width="8.125" style="1" customWidth="1"/>
    <col min="12592" max="12596" width="5.875" style="1" customWidth="1"/>
    <col min="12597" max="12800" width="9" style="1"/>
    <col min="12801" max="12801" width="3.75" style="1" customWidth="1"/>
    <col min="12802" max="12802" width="35.625" style="1" customWidth="1"/>
    <col min="12803" max="12804" width="13.75" style="1" customWidth="1"/>
    <col min="12805" max="12805" width="29.5" style="1" customWidth="1"/>
    <col min="12806" max="12806" width="13.75" style="1" customWidth="1"/>
    <col min="12807" max="12807" width="17.375" style="1" customWidth="1"/>
    <col min="12808" max="12808" width="16.125" style="1" customWidth="1"/>
    <col min="12809" max="12811" width="13.75" style="1" customWidth="1"/>
    <col min="12812" max="12812" width="18.25" style="1" customWidth="1"/>
    <col min="12813" max="12813" width="13.75" style="1" customWidth="1"/>
    <col min="12814" max="12815" width="5.875" style="1" customWidth="1"/>
    <col min="12816" max="12816" width="30.375" style="1" customWidth="1"/>
    <col min="12817" max="12817" width="17.25" style="1" customWidth="1"/>
    <col min="12818" max="12819" width="5.875" style="1" customWidth="1"/>
    <col min="12820" max="12820" width="30.375" style="1" customWidth="1"/>
    <col min="12821" max="12821" width="17.25" style="1" customWidth="1"/>
    <col min="12822" max="12823" width="5.875" style="1" customWidth="1"/>
    <col min="12824" max="12824" width="30.375" style="1" customWidth="1"/>
    <col min="12825" max="12825" width="17.25" style="1" customWidth="1"/>
    <col min="12826" max="12827" width="5.875" style="1" customWidth="1"/>
    <col min="12828" max="12828" width="49.125" style="1" customWidth="1"/>
    <col min="12829" max="12829" width="8.375" style="1" customWidth="1"/>
    <col min="12830" max="12830" width="12.375" style="1" customWidth="1"/>
    <col min="12831" max="12831" width="14.375" style="1" customWidth="1"/>
    <col min="12832" max="12832" width="5.875" style="1" customWidth="1"/>
    <col min="12833" max="12833" width="8.375" style="1" customWidth="1"/>
    <col min="12834" max="12834" width="5.875" style="1" customWidth="1"/>
    <col min="12835" max="12835" width="11.125" style="1" customWidth="1"/>
    <col min="12836" max="12840" width="5.875" style="1" customWidth="1"/>
    <col min="12841" max="12841" width="8.875" style="1" customWidth="1"/>
    <col min="12842" max="12842" width="8.625" style="1" customWidth="1"/>
    <col min="12843" max="12843" width="10.625" style="1" customWidth="1"/>
    <col min="12844" max="12844" width="5.875" style="1" customWidth="1"/>
    <col min="12845" max="12845" width="7.875" style="1" customWidth="1"/>
    <col min="12846" max="12846" width="5.875" style="1" customWidth="1"/>
    <col min="12847" max="12847" width="8.125" style="1" customWidth="1"/>
    <col min="12848" max="12852" width="5.875" style="1" customWidth="1"/>
    <col min="12853" max="13056" width="9" style="1"/>
    <col min="13057" max="13057" width="3.75" style="1" customWidth="1"/>
    <col min="13058" max="13058" width="35.625" style="1" customWidth="1"/>
    <col min="13059" max="13060" width="13.75" style="1" customWidth="1"/>
    <col min="13061" max="13061" width="29.5" style="1" customWidth="1"/>
    <col min="13062" max="13062" width="13.75" style="1" customWidth="1"/>
    <col min="13063" max="13063" width="17.375" style="1" customWidth="1"/>
    <col min="13064" max="13064" width="16.125" style="1" customWidth="1"/>
    <col min="13065" max="13067" width="13.75" style="1" customWidth="1"/>
    <col min="13068" max="13068" width="18.25" style="1" customWidth="1"/>
    <col min="13069" max="13069" width="13.75" style="1" customWidth="1"/>
    <col min="13070" max="13071" width="5.875" style="1" customWidth="1"/>
    <col min="13072" max="13072" width="30.375" style="1" customWidth="1"/>
    <col min="13073" max="13073" width="17.25" style="1" customWidth="1"/>
    <col min="13074" max="13075" width="5.875" style="1" customWidth="1"/>
    <col min="13076" max="13076" width="30.375" style="1" customWidth="1"/>
    <col min="13077" max="13077" width="17.25" style="1" customWidth="1"/>
    <col min="13078" max="13079" width="5.875" style="1" customWidth="1"/>
    <col min="13080" max="13080" width="30.375" style="1" customWidth="1"/>
    <col min="13081" max="13081" width="17.25" style="1" customWidth="1"/>
    <col min="13082" max="13083" width="5.875" style="1" customWidth="1"/>
    <col min="13084" max="13084" width="49.125" style="1" customWidth="1"/>
    <col min="13085" max="13085" width="8.375" style="1" customWidth="1"/>
    <col min="13086" max="13086" width="12.375" style="1" customWidth="1"/>
    <col min="13087" max="13087" width="14.375" style="1" customWidth="1"/>
    <col min="13088" max="13088" width="5.875" style="1" customWidth="1"/>
    <col min="13089" max="13089" width="8.375" style="1" customWidth="1"/>
    <col min="13090" max="13090" width="5.875" style="1" customWidth="1"/>
    <col min="13091" max="13091" width="11.125" style="1" customWidth="1"/>
    <col min="13092" max="13096" width="5.875" style="1" customWidth="1"/>
    <col min="13097" max="13097" width="8.875" style="1" customWidth="1"/>
    <col min="13098" max="13098" width="8.625" style="1" customWidth="1"/>
    <col min="13099" max="13099" width="10.625" style="1" customWidth="1"/>
    <col min="13100" max="13100" width="5.875" style="1" customWidth="1"/>
    <col min="13101" max="13101" width="7.875" style="1" customWidth="1"/>
    <col min="13102" max="13102" width="5.875" style="1" customWidth="1"/>
    <col min="13103" max="13103" width="8.125" style="1" customWidth="1"/>
    <col min="13104" max="13108" width="5.875" style="1" customWidth="1"/>
    <col min="13109" max="13312" width="9" style="1"/>
    <col min="13313" max="13313" width="3.75" style="1" customWidth="1"/>
    <col min="13314" max="13314" width="35.625" style="1" customWidth="1"/>
    <col min="13315" max="13316" width="13.75" style="1" customWidth="1"/>
    <col min="13317" max="13317" width="29.5" style="1" customWidth="1"/>
    <col min="13318" max="13318" width="13.75" style="1" customWidth="1"/>
    <col min="13319" max="13319" width="17.375" style="1" customWidth="1"/>
    <col min="13320" max="13320" width="16.125" style="1" customWidth="1"/>
    <col min="13321" max="13323" width="13.75" style="1" customWidth="1"/>
    <col min="13324" max="13324" width="18.25" style="1" customWidth="1"/>
    <col min="13325" max="13325" width="13.75" style="1" customWidth="1"/>
    <col min="13326" max="13327" width="5.875" style="1" customWidth="1"/>
    <col min="13328" max="13328" width="30.375" style="1" customWidth="1"/>
    <col min="13329" max="13329" width="17.25" style="1" customWidth="1"/>
    <col min="13330" max="13331" width="5.875" style="1" customWidth="1"/>
    <col min="13332" max="13332" width="30.375" style="1" customWidth="1"/>
    <col min="13333" max="13333" width="17.25" style="1" customWidth="1"/>
    <col min="13334" max="13335" width="5.875" style="1" customWidth="1"/>
    <col min="13336" max="13336" width="30.375" style="1" customWidth="1"/>
    <col min="13337" max="13337" width="17.25" style="1" customWidth="1"/>
    <col min="13338" max="13339" width="5.875" style="1" customWidth="1"/>
    <col min="13340" max="13340" width="49.125" style="1" customWidth="1"/>
    <col min="13341" max="13341" width="8.375" style="1" customWidth="1"/>
    <col min="13342" max="13342" width="12.375" style="1" customWidth="1"/>
    <col min="13343" max="13343" width="14.375" style="1" customWidth="1"/>
    <col min="13344" max="13344" width="5.875" style="1" customWidth="1"/>
    <col min="13345" max="13345" width="8.375" style="1" customWidth="1"/>
    <col min="13346" max="13346" width="5.875" style="1" customWidth="1"/>
    <col min="13347" max="13347" width="11.125" style="1" customWidth="1"/>
    <col min="13348" max="13352" width="5.875" style="1" customWidth="1"/>
    <col min="13353" max="13353" width="8.875" style="1" customWidth="1"/>
    <col min="13354" max="13354" width="8.625" style="1" customWidth="1"/>
    <col min="13355" max="13355" width="10.625" style="1" customWidth="1"/>
    <col min="13356" max="13356" width="5.875" style="1" customWidth="1"/>
    <col min="13357" max="13357" width="7.875" style="1" customWidth="1"/>
    <col min="13358" max="13358" width="5.875" style="1" customWidth="1"/>
    <col min="13359" max="13359" width="8.125" style="1" customWidth="1"/>
    <col min="13360" max="13364" width="5.875" style="1" customWidth="1"/>
    <col min="13365" max="13568" width="9" style="1"/>
    <col min="13569" max="13569" width="3.75" style="1" customWidth="1"/>
    <col min="13570" max="13570" width="35.625" style="1" customWidth="1"/>
    <col min="13571" max="13572" width="13.75" style="1" customWidth="1"/>
    <col min="13573" max="13573" width="29.5" style="1" customWidth="1"/>
    <col min="13574" max="13574" width="13.75" style="1" customWidth="1"/>
    <col min="13575" max="13575" width="17.375" style="1" customWidth="1"/>
    <col min="13576" max="13576" width="16.125" style="1" customWidth="1"/>
    <col min="13577" max="13579" width="13.75" style="1" customWidth="1"/>
    <col min="13580" max="13580" width="18.25" style="1" customWidth="1"/>
    <col min="13581" max="13581" width="13.75" style="1" customWidth="1"/>
    <col min="13582" max="13583" width="5.875" style="1" customWidth="1"/>
    <col min="13584" max="13584" width="30.375" style="1" customWidth="1"/>
    <col min="13585" max="13585" width="17.25" style="1" customWidth="1"/>
    <col min="13586" max="13587" width="5.875" style="1" customWidth="1"/>
    <col min="13588" max="13588" width="30.375" style="1" customWidth="1"/>
    <col min="13589" max="13589" width="17.25" style="1" customWidth="1"/>
    <col min="13590" max="13591" width="5.875" style="1" customWidth="1"/>
    <col min="13592" max="13592" width="30.375" style="1" customWidth="1"/>
    <col min="13593" max="13593" width="17.25" style="1" customWidth="1"/>
    <col min="13594" max="13595" width="5.875" style="1" customWidth="1"/>
    <col min="13596" max="13596" width="49.125" style="1" customWidth="1"/>
    <col min="13597" max="13597" width="8.375" style="1" customWidth="1"/>
    <col min="13598" max="13598" width="12.375" style="1" customWidth="1"/>
    <col min="13599" max="13599" width="14.375" style="1" customWidth="1"/>
    <col min="13600" max="13600" width="5.875" style="1" customWidth="1"/>
    <col min="13601" max="13601" width="8.375" style="1" customWidth="1"/>
    <col min="13602" max="13602" width="5.875" style="1" customWidth="1"/>
    <col min="13603" max="13603" width="11.125" style="1" customWidth="1"/>
    <col min="13604" max="13608" width="5.875" style="1" customWidth="1"/>
    <col min="13609" max="13609" width="8.875" style="1" customWidth="1"/>
    <col min="13610" max="13610" width="8.625" style="1" customWidth="1"/>
    <col min="13611" max="13611" width="10.625" style="1" customWidth="1"/>
    <col min="13612" max="13612" width="5.875" style="1" customWidth="1"/>
    <col min="13613" max="13613" width="7.875" style="1" customWidth="1"/>
    <col min="13614" max="13614" width="5.875" style="1" customWidth="1"/>
    <col min="13615" max="13615" width="8.125" style="1" customWidth="1"/>
    <col min="13616" max="13620" width="5.875" style="1" customWidth="1"/>
    <col min="13621" max="13824" width="9" style="1"/>
    <col min="13825" max="13825" width="3.75" style="1" customWidth="1"/>
    <col min="13826" max="13826" width="35.625" style="1" customWidth="1"/>
    <col min="13827" max="13828" width="13.75" style="1" customWidth="1"/>
    <col min="13829" max="13829" width="29.5" style="1" customWidth="1"/>
    <col min="13830" max="13830" width="13.75" style="1" customWidth="1"/>
    <col min="13831" max="13831" width="17.375" style="1" customWidth="1"/>
    <col min="13832" max="13832" width="16.125" style="1" customWidth="1"/>
    <col min="13833" max="13835" width="13.75" style="1" customWidth="1"/>
    <col min="13836" max="13836" width="18.25" style="1" customWidth="1"/>
    <col min="13837" max="13837" width="13.75" style="1" customWidth="1"/>
    <col min="13838" max="13839" width="5.875" style="1" customWidth="1"/>
    <col min="13840" max="13840" width="30.375" style="1" customWidth="1"/>
    <col min="13841" max="13841" width="17.25" style="1" customWidth="1"/>
    <col min="13842" max="13843" width="5.875" style="1" customWidth="1"/>
    <col min="13844" max="13844" width="30.375" style="1" customWidth="1"/>
    <col min="13845" max="13845" width="17.25" style="1" customWidth="1"/>
    <col min="13846" max="13847" width="5.875" style="1" customWidth="1"/>
    <col min="13848" max="13848" width="30.375" style="1" customWidth="1"/>
    <col min="13849" max="13849" width="17.25" style="1" customWidth="1"/>
    <col min="13850" max="13851" width="5.875" style="1" customWidth="1"/>
    <col min="13852" max="13852" width="49.125" style="1" customWidth="1"/>
    <col min="13853" max="13853" width="8.375" style="1" customWidth="1"/>
    <col min="13854" max="13854" width="12.375" style="1" customWidth="1"/>
    <col min="13855" max="13855" width="14.375" style="1" customWidth="1"/>
    <col min="13856" max="13856" width="5.875" style="1" customWidth="1"/>
    <col min="13857" max="13857" width="8.375" style="1" customWidth="1"/>
    <col min="13858" max="13858" width="5.875" style="1" customWidth="1"/>
    <col min="13859" max="13859" width="11.125" style="1" customWidth="1"/>
    <col min="13860" max="13864" width="5.875" style="1" customWidth="1"/>
    <col min="13865" max="13865" width="8.875" style="1" customWidth="1"/>
    <col min="13866" max="13866" width="8.625" style="1" customWidth="1"/>
    <col min="13867" max="13867" width="10.625" style="1" customWidth="1"/>
    <col min="13868" max="13868" width="5.875" style="1" customWidth="1"/>
    <col min="13869" max="13869" width="7.875" style="1" customWidth="1"/>
    <col min="13870" max="13870" width="5.875" style="1" customWidth="1"/>
    <col min="13871" max="13871" width="8.125" style="1" customWidth="1"/>
    <col min="13872" max="13876" width="5.875" style="1" customWidth="1"/>
    <col min="13877" max="14080" width="9" style="1"/>
    <col min="14081" max="14081" width="3.75" style="1" customWidth="1"/>
    <col min="14082" max="14082" width="35.625" style="1" customWidth="1"/>
    <col min="14083" max="14084" width="13.75" style="1" customWidth="1"/>
    <col min="14085" max="14085" width="29.5" style="1" customWidth="1"/>
    <col min="14086" max="14086" width="13.75" style="1" customWidth="1"/>
    <col min="14087" max="14087" width="17.375" style="1" customWidth="1"/>
    <col min="14088" max="14088" width="16.125" style="1" customWidth="1"/>
    <col min="14089" max="14091" width="13.75" style="1" customWidth="1"/>
    <col min="14092" max="14092" width="18.25" style="1" customWidth="1"/>
    <col min="14093" max="14093" width="13.75" style="1" customWidth="1"/>
    <col min="14094" max="14095" width="5.875" style="1" customWidth="1"/>
    <col min="14096" max="14096" width="30.375" style="1" customWidth="1"/>
    <col min="14097" max="14097" width="17.25" style="1" customWidth="1"/>
    <col min="14098" max="14099" width="5.875" style="1" customWidth="1"/>
    <col min="14100" max="14100" width="30.375" style="1" customWidth="1"/>
    <col min="14101" max="14101" width="17.25" style="1" customWidth="1"/>
    <col min="14102" max="14103" width="5.875" style="1" customWidth="1"/>
    <col min="14104" max="14104" width="30.375" style="1" customWidth="1"/>
    <col min="14105" max="14105" width="17.25" style="1" customWidth="1"/>
    <col min="14106" max="14107" width="5.875" style="1" customWidth="1"/>
    <col min="14108" max="14108" width="49.125" style="1" customWidth="1"/>
    <col min="14109" max="14109" width="8.375" style="1" customWidth="1"/>
    <col min="14110" max="14110" width="12.375" style="1" customWidth="1"/>
    <col min="14111" max="14111" width="14.375" style="1" customWidth="1"/>
    <col min="14112" max="14112" width="5.875" style="1" customWidth="1"/>
    <col min="14113" max="14113" width="8.375" style="1" customWidth="1"/>
    <col min="14114" max="14114" width="5.875" style="1" customWidth="1"/>
    <col min="14115" max="14115" width="11.125" style="1" customWidth="1"/>
    <col min="14116" max="14120" width="5.875" style="1" customWidth="1"/>
    <col min="14121" max="14121" width="8.875" style="1" customWidth="1"/>
    <col min="14122" max="14122" width="8.625" style="1" customWidth="1"/>
    <col min="14123" max="14123" width="10.625" style="1" customWidth="1"/>
    <col min="14124" max="14124" width="5.875" style="1" customWidth="1"/>
    <col min="14125" max="14125" width="7.875" style="1" customWidth="1"/>
    <col min="14126" max="14126" width="5.875" style="1" customWidth="1"/>
    <col min="14127" max="14127" width="8.125" style="1" customWidth="1"/>
    <col min="14128" max="14132" width="5.875" style="1" customWidth="1"/>
    <col min="14133" max="14336" width="9" style="1"/>
    <col min="14337" max="14337" width="3.75" style="1" customWidth="1"/>
    <col min="14338" max="14338" width="35.625" style="1" customWidth="1"/>
    <col min="14339" max="14340" width="13.75" style="1" customWidth="1"/>
    <col min="14341" max="14341" width="29.5" style="1" customWidth="1"/>
    <col min="14342" max="14342" width="13.75" style="1" customWidth="1"/>
    <col min="14343" max="14343" width="17.375" style="1" customWidth="1"/>
    <col min="14344" max="14344" width="16.125" style="1" customWidth="1"/>
    <col min="14345" max="14347" width="13.75" style="1" customWidth="1"/>
    <col min="14348" max="14348" width="18.25" style="1" customWidth="1"/>
    <col min="14349" max="14349" width="13.75" style="1" customWidth="1"/>
    <col min="14350" max="14351" width="5.875" style="1" customWidth="1"/>
    <col min="14352" max="14352" width="30.375" style="1" customWidth="1"/>
    <col min="14353" max="14353" width="17.25" style="1" customWidth="1"/>
    <col min="14354" max="14355" width="5.875" style="1" customWidth="1"/>
    <col min="14356" max="14356" width="30.375" style="1" customWidth="1"/>
    <col min="14357" max="14357" width="17.25" style="1" customWidth="1"/>
    <col min="14358" max="14359" width="5.875" style="1" customWidth="1"/>
    <col min="14360" max="14360" width="30.375" style="1" customWidth="1"/>
    <col min="14361" max="14361" width="17.25" style="1" customWidth="1"/>
    <col min="14362" max="14363" width="5.875" style="1" customWidth="1"/>
    <col min="14364" max="14364" width="49.125" style="1" customWidth="1"/>
    <col min="14365" max="14365" width="8.375" style="1" customWidth="1"/>
    <col min="14366" max="14366" width="12.375" style="1" customWidth="1"/>
    <col min="14367" max="14367" width="14.375" style="1" customWidth="1"/>
    <col min="14368" max="14368" width="5.875" style="1" customWidth="1"/>
    <col min="14369" max="14369" width="8.375" style="1" customWidth="1"/>
    <col min="14370" max="14370" width="5.875" style="1" customWidth="1"/>
    <col min="14371" max="14371" width="11.125" style="1" customWidth="1"/>
    <col min="14372" max="14376" width="5.875" style="1" customWidth="1"/>
    <col min="14377" max="14377" width="8.875" style="1" customWidth="1"/>
    <col min="14378" max="14378" width="8.625" style="1" customWidth="1"/>
    <col min="14379" max="14379" width="10.625" style="1" customWidth="1"/>
    <col min="14380" max="14380" width="5.875" style="1" customWidth="1"/>
    <col min="14381" max="14381" width="7.875" style="1" customWidth="1"/>
    <col min="14382" max="14382" width="5.875" style="1" customWidth="1"/>
    <col min="14383" max="14383" width="8.125" style="1" customWidth="1"/>
    <col min="14384" max="14388" width="5.875" style="1" customWidth="1"/>
    <col min="14389" max="14592" width="9" style="1"/>
    <col min="14593" max="14593" width="3.75" style="1" customWidth="1"/>
    <col min="14594" max="14594" width="35.625" style="1" customWidth="1"/>
    <col min="14595" max="14596" width="13.75" style="1" customWidth="1"/>
    <col min="14597" max="14597" width="29.5" style="1" customWidth="1"/>
    <col min="14598" max="14598" width="13.75" style="1" customWidth="1"/>
    <col min="14599" max="14599" width="17.375" style="1" customWidth="1"/>
    <col min="14600" max="14600" width="16.125" style="1" customWidth="1"/>
    <col min="14601" max="14603" width="13.75" style="1" customWidth="1"/>
    <col min="14604" max="14604" width="18.25" style="1" customWidth="1"/>
    <col min="14605" max="14605" width="13.75" style="1" customWidth="1"/>
    <col min="14606" max="14607" width="5.875" style="1" customWidth="1"/>
    <col min="14608" max="14608" width="30.375" style="1" customWidth="1"/>
    <col min="14609" max="14609" width="17.25" style="1" customWidth="1"/>
    <col min="14610" max="14611" width="5.875" style="1" customWidth="1"/>
    <col min="14612" max="14612" width="30.375" style="1" customWidth="1"/>
    <col min="14613" max="14613" width="17.25" style="1" customWidth="1"/>
    <col min="14614" max="14615" width="5.875" style="1" customWidth="1"/>
    <col min="14616" max="14616" width="30.375" style="1" customWidth="1"/>
    <col min="14617" max="14617" width="17.25" style="1" customWidth="1"/>
    <col min="14618" max="14619" width="5.875" style="1" customWidth="1"/>
    <col min="14620" max="14620" width="49.125" style="1" customWidth="1"/>
    <col min="14621" max="14621" width="8.375" style="1" customWidth="1"/>
    <col min="14622" max="14622" width="12.375" style="1" customWidth="1"/>
    <col min="14623" max="14623" width="14.375" style="1" customWidth="1"/>
    <col min="14624" max="14624" width="5.875" style="1" customWidth="1"/>
    <col min="14625" max="14625" width="8.375" style="1" customWidth="1"/>
    <col min="14626" max="14626" width="5.875" style="1" customWidth="1"/>
    <col min="14627" max="14627" width="11.125" style="1" customWidth="1"/>
    <col min="14628" max="14632" width="5.875" style="1" customWidth="1"/>
    <col min="14633" max="14633" width="8.875" style="1" customWidth="1"/>
    <col min="14634" max="14634" width="8.625" style="1" customWidth="1"/>
    <col min="14635" max="14635" width="10.625" style="1" customWidth="1"/>
    <col min="14636" max="14636" width="5.875" style="1" customWidth="1"/>
    <col min="14637" max="14637" width="7.875" style="1" customWidth="1"/>
    <col min="14638" max="14638" width="5.875" style="1" customWidth="1"/>
    <col min="14639" max="14639" width="8.125" style="1" customWidth="1"/>
    <col min="14640" max="14644" width="5.875" style="1" customWidth="1"/>
    <col min="14645" max="14848" width="9" style="1"/>
    <col min="14849" max="14849" width="3.75" style="1" customWidth="1"/>
    <col min="14850" max="14850" width="35.625" style="1" customWidth="1"/>
    <col min="14851" max="14852" width="13.75" style="1" customWidth="1"/>
    <col min="14853" max="14853" width="29.5" style="1" customWidth="1"/>
    <col min="14854" max="14854" width="13.75" style="1" customWidth="1"/>
    <col min="14855" max="14855" width="17.375" style="1" customWidth="1"/>
    <col min="14856" max="14856" width="16.125" style="1" customWidth="1"/>
    <col min="14857" max="14859" width="13.75" style="1" customWidth="1"/>
    <col min="14860" max="14860" width="18.25" style="1" customWidth="1"/>
    <col min="14861" max="14861" width="13.75" style="1" customWidth="1"/>
    <col min="14862" max="14863" width="5.875" style="1" customWidth="1"/>
    <col min="14864" max="14864" width="30.375" style="1" customWidth="1"/>
    <col min="14865" max="14865" width="17.25" style="1" customWidth="1"/>
    <col min="14866" max="14867" width="5.875" style="1" customWidth="1"/>
    <col min="14868" max="14868" width="30.375" style="1" customWidth="1"/>
    <col min="14869" max="14869" width="17.25" style="1" customWidth="1"/>
    <col min="14870" max="14871" width="5.875" style="1" customWidth="1"/>
    <col min="14872" max="14872" width="30.375" style="1" customWidth="1"/>
    <col min="14873" max="14873" width="17.25" style="1" customWidth="1"/>
    <col min="14874" max="14875" width="5.875" style="1" customWidth="1"/>
    <col min="14876" max="14876" width="49.125" style="1" customWidth="1"/>
    <col min="14877" max="14877" width="8.375" style="1" customWidth="1"/>
    <col min="14878" max="14878" width="12.375" style="1" customWidth="1"/>
    <col min="14879" max="14879" width="14.375" style="1" customWidth="1"/>
    <col min="14880" max="14880" width="5.875" style="1" customWidth="1"/>
    <col min="14881" max="14881" width="8.375" style="1" customWidth="1"/>
    <col min="14882" max="14882" width="5.875" style="1" customWidth="1"/>
    <col min="14883" max="14883" width="11.125" style="1" customWidth="1"/>
    <col min="14884" max="14888" width="5.875" style="1" customWidth="1"/>
    <col min="14889" max="14889" width="8.875" style="1" customWidth="1"/>
    <col min="14890" max="14890" width="8.625" style="1" customWidth="1"/>
    <col min="14891" max="14891" width="10.625" style="1" customWidth="1"/>
    <col min="14892" max="14892" width="5.875" style="1" customWidth="1"/>
    <col min="14893" max="14893" width="7.875" style="1" customWidth="1"/>
    <col min="14894" max="14894" width="5.875" style="1" customWidth="1"/>
    <col min="14895" max="14895" width="8.125" style="1" customWidth="1"/>
    <col min="14896" max="14900" width="5.875" style="1" customWidth="1"/>
    <col min="14901" max="15104" width="9" style="1"/>
    <col min="15105" max="15105" width="3.75" style="1" customWidth="1"/>
    <col min="15106" max="15106" width="35.625" style="1" customWidth="1"/>
    <col min="15107" max="15108" width="13.75" style="1" customWidth="1"/>
    <col min="15109" max="15109" width="29.5" style="1" customWidth="1"/>
    <col min="15110" max="15110" width="13.75" style="1" customWidth="1"/>
    <col min="15111" max="15111" width="17.375" style="1" customWidth="1"/>
    <col min="15112" max="15112" width="16.125" style="1" customWidth="1"/>
    <col min="15113" max="15115" width="13.75" style="1" customWidth="1"/>
    <col min="15116" max="15116" width="18.25" style="1" customWidth="1"/>
    <col min="15117" max="15117" width="13.75" style="1" customWidth="1"/>
    <col min="15118" max="15119" width="5.875" style="1" customWidth="1"/>
    <col min="15120" max="15120" width="30.375" style="1" customWidth="1"/>
    <col min="15121" max="15121" width="17.25" style="1" customWidth="1"/>
    <col min="15122" max="15123" width="5.875" style="1" customWidth="1"/>
    <col min="15124" max="15124" width="30.375" style="1" customWidth="1"/>
    <col min="15125" max="15125" width="17.25" style="1" customWidth="1"/>
    <col min="15126" max="15127" width="5.875" style="1" customWidth="1"/>
    <col min="15128" max="15128" width="30.375" style="1" customWidth="1"/>
    <col min="15129" max="15129" width="17.25" style="1" customWidth="1"/>
    <col min="15130" max="15131" width="5.875" style="1" customWidth="1"/>
    <col min="15132" max="15132" width="49.125" style="1" customWidth="1"/>
    <col min="15133" max="15133" width="8.375" style="1" customWidth="1"/>
    <col min="15134" max="15134" width="12.375" style="1" customWidth="1"/>
    <col min="15135" max="15135" width="14.375" style="1" customWidth="1"/>
    <col min="15136" max="15136" width="5.875" style="1" customWidth="1"/>
    <col min="15137" max="15137" width="8.375" style="1" customWidth="1"/>
    <col min="15138" max="15138" width="5.875" style="1" customWidth="1"/>
    <col min="15139" max="15139" width="11.125" style="1" customWidth="1"/>
    <col min="15140" max="15144" width="5.875" style="1" customWidth="1"/>
    <col min="15145" max="15145" width="8.875" style="1" customWidth="1"/>
    <col min="15146" max="15146" width="8.625" style="1" customWidth="1"/>
    <col min="15147" max="15147" width="10.625" style="1" customWidth="1"/>
    <col min="15148" max="15148" width="5.875" style="1" customWidth="1"/>
    <col min="15149" max="15149" width="7.875" style="1" customWidth="1"/>
    <col min="15150" max="15150" width="5.875" style="1" customWidth="1"/>
    <col min="15151" max="15151" width="8.125" style="1" customWidth="1"/>
    <col min="15152" max="15156" width="5.875" style="1" customWidth="1"/>
    <col min="15157" max="15360" width="9" style="1"/>
    <col min="15361" max="15361" width="3.75" style="1" customWidth="1"/>
    <col min="15362" max="15362" width="35.625" style="1" customWidth="1"/>
    <col min="15363" max="15364" width="13.75" style="1" customWidth="1"/>
    <col min="15365" max="15365" width="29.5" style="1" customWidth="1"/>
    <col min="15366" max="15366" width="13.75" style="1" customWidth="1"/>
    <col min="15367" max="15367" width="17.375" style="1" customWidth="1"/>
    <col min="15368" max="15368" width="16.125" style="1" customWidth="1"/>
    <col min="15369" max="15371" width="13.75" style="1" customWidth="1"/>
    <col min="15372" max="15372" width="18.25" style="1" customWidth="1"/>
    <col min="15373" max="15373" width="13.75" style="1" customWidth="1"/>
    <col min="15374" max="15375" width="5.875" style="1" customWidth="1"/>
    <col min="15376" max="15376" width="30.375" style="1" customWidth="1"/>
    <col min="15377" max="15377" width="17.25" style="1" customWidth="1"/>
    <col min="15378" max="15379" width="5.875" style="1" customWidth="1"/>
    <col min="15380" max="15380" width="30.375" style="1" customWidth="1"/>
    <col min="15381" max="15381" width="17.25" style="1" customWidth="1"/>
    <col min="15382" max="15383" width="5.875" style="1" customWidth="1"/>
    <col min="15384" max="15384" width="30.375" style="1" customWidth="1"/>
    <col min="15385" max="15385" width="17.25" style="1" customWidth="1"/>
    <col min="15386" max="15387" width="5.875" style="1" customWidth="1"/>
    <col min="15388" max="15388" width="49.125" style="1" customWidth="1"/>
    <col min="15389" max="15389" width="8.375" style="1" customWidth="1"/>
    <col min="15390" max="15390" width="12.375" style="1" customWidth="1"/>
    <col min="15391" max="15391" width="14.375" style="1" customWidth="1"/>
    <col min="15392" max="15392" width="5.875" style="1" customWidth="1"/>
    <col min="15393" max="15393" width="8.375" style="1" customWidth="1"/>
    <col min="15394" max="15394" width="5.875" style="1" customWidth="1"/>
    <col min="15395" max="15395" width="11.125" style="1" customWidth="1"/>
    <col min="15396" max="15400" width="5.875" style="1" customWidth="1"/>
    <col min="15401" max="15401" width="8.875" style="1" customWidth="1"/>
    <col min="15402" max="15402" width="8.625" style="1" customWidth="1"/>
    <col min="15403" max="15403" width="10.625" style="1" customWidth="1"/>
    <col min="15404" max="15404" width="5.875" style="1" customWidth="1"/>
    <col min="15405" max="15405" width="7.875" style="1" customWidth="1"/>
    <col min="15406" max="15406" width="5.875" style="1" customWidth="1"/>
    <col min="15407" max="15407" width="8.125" style="1" customWidth="1"/>
    <col min="15408" max="15412" width="5.875" style="1" customWidth="1"/>
    <col min="15413" max="15616" width="9" style="1"/>
    <col min="15617" max="15617" width="3.75" style="1" customWidth="1"/>
    <col min="15618" max="15618" width="35.625" style="1" customWidth="1"/>
    <col min="15619" max="15620" width="13.75" style="1" customWidth="1"/>
    <col min="15621" max="15621" width="29.5" style="1" customWidth="1"/>
    <col min="15622" max="15622" width="13.75" style="1" customWidth="1"/>
    <col min="15623" max="15623" width="17.375" style="1" customWidth="1"/>
    <col min="15624" max="15624" width="16.125" style="1" customWidth="1"/>
    <col min="15625" max="15627" width="13.75" style="1" customWidth="1"/>
    <col min="15628" max="15628" width="18.25" style="1" customWidth="1"/>
    <col min="15629" max="15629" width="13.75" style="1" customWidth="1"/>
    <col min="15630" max="15631" width="5.875" style="1" customWidth="1"/>
    <col min="15632" max="15632" width="30.375" style="1" customWidth="1"/>
    <col min="15633" max="15633" width="17.25" style="1" customWidth="1"/>
    <col min="15634" max="15635" width="5.875" style="1" customWidth="1"/>
    <col min="15636" max="15636" width="30.375" style="1" customWidth="1"/>
    <col min="15637" max="15637" width="17.25" style="1" customWidth="1"/>
    <col min="15638" max="15639" width="5.875" style="1" customWidth="1"/>
    <col min="15640" max="15640" width="30.375" style="1" customWidth="1"/>
    <col min="15641" max="15641" width="17.25" style="1" customWidth="1"/>
    <col min="15642" max="15643" width="5.875" style="1" customWidth="1"/>
    <col min="15644" max="15644" width="49.125" style="1" customWidth="1"/>
    <col min="15645" max="15645" width="8.375" style="1" customWidth="1"/>
    <col min="15646" max="15646" width="12.375" style="1" customWidth="1"/>
    <col min="15647" max="15647" width="14.375" style="1" customWidth="1"/>
    <col min="15648" max="15648" width="5.875" style="1" customWidth="1"/>
    <col min="15649" max="15649" width="8.375" style="1" customWidth="1"/>
    <col min="15650" max="15650" width="5.875" style="1" customWidth="1"/>
    <col min="15651" max="15651" width="11.125" style="1" customWidth="1"/>
    <col min="15652" max="15656" width="5.875" style="1" customWidth="1"/>
    <col min="15657" max="15657" width="8.875" style="1" customWidth="1"/>
    <col min="15658" max="15658" width="8.625" style="1" customWidth="1"/>
    <col min="15659" max="15659" width="10.625" style="1" customWidth="1"/>
    <col min="15660" max="15660" width="5.875" style="1" customWidth="1"/>
    <col min="15661" max="15661" width="7.875" style="1" customWidth="1"/>
    <col min="15662" max="15662" width="5.875" style="1" customWidth="1"/>
    <col min="15663" max="15663" width="8.125" style="1" customWidth="1"/>
    <col min="15664" max="15668" width="5.875" style="1" customWidth="1"/>
    <col min="15669" max="15872" width="9" style="1"/>
    <col min="15873" max="15873" width="3.75" style="1" customWidth="1"/>
    <col min="15874" max="15874" width="35.625" style="1" customWidth="1"/>
    <col min="15875" max="15876" width="13.75" style="1" customWidth="1"/>
    <col min="15877" max="15877" width="29.5" style="1" customWidth="1"/>
    <col min="15878" max="15878" width="13.75" style="1" customWidth="1"/>
    <col min="15879" max="15879" width="17.375" style="1" customWidth="1"/>
    <col min="15880" max="15880" width="16.125" style="1" customWidth="1"/>
    <col min="15881" max="15883" width="13.75" style="1" customWidth="1"/>
    <col min="15884" max="15884" width="18.25" style="1" customWidth="1"/>
    <col min="15885" max="15885" width="13.75" style="1" customWidth="1"/>
    <col min="15886" max="15887" width="5.875" style="1" customWidth="1"/>
    <col min="15888" max="15888" width="30.375" style="1" customWidth="1"/>
    <col min="15889" max="15889" width="17.25" style="1" customWidth="1"/>
    <col min="15890" max="15891" width="5.875" style="1" customWidth="1"/>
    <col min="15892" max="15892" width="30.375" style="1" customWidth="1"/>
    <col min="15893" max="15893" width="17.25" style="1" customWidth="1"/>
    <col min="15894" max="15895" width="5.875" style="1" customWidth="1"/>
    <col min="15896" max="15896" width="30.375" style="1" customWidth="1"/>
    <col min="15897" max="15897" width="17.25" style="1" customWidth="1"/>
    <col min="15898" max="15899" width="5.875" style="1" customWidth="1"/>
    <col min="15900" max="15900" width="49.125" style="1" customWidth="1"/>
    <col min="15901" max="15901" width="8.375" style="1" customWidth="1"/>
    <col min="15902" max="15902" width="12.375" style="1" customWidth="1"/>
    <col min="15903" max="15903" width="14.375" style="1" customWidth="1"/>
    <col min="15904" max="15904" width="5.875" style="1" customWidth="1"/>
    <col min="15905" max="15905" width="8.375" style="1" customWidth="1"/>
    <col min="15906" max="15906" width="5.875" style="1" customWidth="1"/>
    <col min="15907" max="15907" width="11.125" style="1" customWidth="1"/>
    <col min="15908" max="15912" width="5.875" style="1" customWidth="1"/>
    <col min="15913" max="15913" width="8.875" style="1" customWidth="1"/>
    <col min="15914" max="15914" width="8.625" style="1" customWidth="1"/>
    <col min="15915" max="15915" width="10.625" style="1" customWidth="1"/>
    <col min="15916" max="15916" width="5.875" style="1" customWidth="1"/>
    <col min="15917" max="15917" width="7.875" style="1" customWidth="1"/>
    <col min="15918" max="15918" width="5.875" style="1" customWidth="1"/>
    <col min="15919" max="15919" width="8.125" style="1" customWidth="1"/>
    <col min="15920" max="15924" width="5.875" style="1" customWidth="1"/>
    <col min="15925" max="16128" width="9" style="1"/>
    <col min="16129" max="16129" width="3.75" style="1" customWidth="1"/>
    <col min="16130" max="16130" width="35.625" style="1" customWidth="1"/>
    <col min="16131" max="16132" width="13.75" style="1" customWidth="1"/>
    <col min="16133" max="16133" width="29.5" style="1" customWidth="1"/>
    <col min="16134" max="16134" width="13.75" style="1" customWidth="1"/>
    <col min="16135" max="16135" width="17.375" style="1" customWidth="1"/>
    <col min="16136" max="16136" width="16.125" style="1" customWidth="1"/>
    <col min="16137" max="16139" width="13.75" style="1" customWidth="1"/>
    <col min="16140" max="16140" width="18.25" style="1" customWidth="1"/>
    <col min="16141" max="16141" width="13.75" style="1" customWidth="1"/>
    <col min="16142" max="16143" width="5.875" style="1" customWidth="1"/>
    <col min="16144" max="16144" width="30.375" style="1" customWidth="1"/>
    <col min="16145" max="16145" width="17.25" style="1" customWidth="1"/>
    <col min="16146" max="16147" width="5.875" style="1" customWidth="1"/>
    <col min="16148" max="16148" width="30.375" style="1" customWidth="1"/>
    <col min="16149" max="16149" width="17.25" style="1" customWidth="1"/>
    <col min="16150" max="16151" width="5.875" style="1" customWidth="1"/>
    <col min="16152" max="16152" width="30.375" style="1" customWidth="1"/>
    <col min="16153" max="16153" width="17.25" style="1" customWidth="1"/>
    <col min="16154" max="16155" width="5.875" style="1" customWidth="1"/>
    <col min="16156" max="16156" width="49.125" style="1" customWidth="1"/>
    <col min="16157" max="16157" width="8.375" style="1" customWidth="1"/>
    <col min="16158" max="16158" width="12.375" style="1" customWidth="1"/>
    <col min="16159" max="16159" width="14.375" style="1" customWidth="1"/>
    <col min="16160" max="16160" width="5.875" style="1" customWidth="1"/>
    <col min="16161" max="16161" width="8.375" style="1" customWidth="1"/>
    <col min="16162" max="16162" width="5.875" style="1" customWidth="1"/>
    <col min="16163" max="16163" width="11.125" style="1" customWidth="1"/>
    <col min="16164" max="16168" width="5.875" style="1" customWidth="1"/>
    <col min="16169" max="16169" width="8.875" style="1" customWidth="1"/>
    <col min="16170" max="16170" width="8.625" style="1" customWidth="1"/>
    <col min="16171" max="16171" width="10.625" style="1" customWidth="1"/>
    <col min="16172" max="16172" width="5.875" style="1" customWidth="1"/>
    <col min="16173" max="16173" width="7.875" style="1" customWidth="1"/>
    <col min="16174" max="16174" width="5.875" style="1" customWidth="1"/>
    <col min="16175" max="16175" width="8.125" style="1" customWidth="1"/>
    <col min="16176" max="16180" width="5.875" style="1" customWidth="1"/>
    <col min="16181" max="16384" width="9" style="1"/>
  </cols>
  <sheetData>
    <row r="1" ht="51" customHeight="1" spans="2:256">
      <c r="B1" s="7" t="s">
        <v>0</v>
      </c>
      <c r="C1" s="7"/>
      <c r="D1" s="8"/>
      <c r="E1" s="9" t="s">
        <v>1</v>
      </c>
      <c r="F1" s="10"/>
      <c r="G1" s="10"/>
      <c r="H1" s="10"/>
      <c r="I1" s="10"/>
      <c r="J1" s="10"/>
      <c r="K1" s="10"/>
      <c r="L1" s="89"/>
      <c r="M1" s="4"/>
      <c r="N1" s="2"/>
      <c r="O1" s="5"/>
      <c r="P1" s="6"/>
      <c r="Q1" s="1"/>
      <c r="R1" s="1"/>
      <c r="S1" s="1"/>
      <c r="T1" s="3"/>
      <c r="W1" s="1"/>
      <c r="AB1" s="2"/>
      <c r="AE1" s="1"/>
      <c r="AU1" s="183"/>
      <c r="AV1" s="183"/>
      <c r="AW1" s="183"/>
      <c r="AX1" s="183"/>
      <c r="AY1" s="183"/>
      <c r="AZ1" s="183"/>
      <c r="BA1" s="183"/>
      <c r="BB1" s="183"/>
      <c r="BC1" s="183"/>
      <c r="BD1" s="183"/>
      <c r="BE1" s="183"/>
      <c r="BF1" s="183"/>
      <c r="BG1" s="183"/>
      <c r="BH1" s="183"/>
      <c r="BI1" s="183"/>
      <c r="BJ1" s="183"/>
      <c r="BK1" s="183"/>
      <c r="BL1" s="183"/>
      <c r="BM1" s="183"/>
      <c r="BN1" s="183"/>
      <c r="BO1" s="183"/>
      <c r="BP1" s="183"/>
      <c r="BQ1" s="183"/>
      <c r="BR1" s="183"/>
      <c r="BS1" s="183"/>
      <c r="BT1" s="183"/>
      <c r="BU1" s="183"/>
      <c r="BV1" s="183"/>
      <c r="BW1" s="183"/>
      <c r="BX1" s="183"/>
      <c r="BY1" s="183"/>
      <c r="BZ1" s="183"/>
      <c r="CA1" s="183"/>
      <c r="CB1" s="183"/>
      <c r="CC1" s="183"/>
      <c r="CD1" s="183"/>
      <c r="CE1" s="183"/>
      <c r="CF1" s="183"/>
      <c r="CG1" s="183"/>
      <c r="CH1" s="183"/>
      <c r="CI1" s="183"/>
      <c r="CJ1" s="183"/>
      <c r="CK1" s="183"/>
      <c r="CL1" s="183"/>
      <c r="CM1" s="183"/>
      <c r="CN1" s="183"/>
      <c r="CO1" s="183"/>
      <c r="CP1" s="183"/>
      <c r="CQ1" s="183"/>
      <c r="CR1" s="183"/>
      <c r="CS1" s="183"/>
      <c r="CT1" s="183"/>
      <c r="CU1" s="183"/>
      <c r="CV1" s="183"/>
      <c r="CW1" s="183"/>
      <c r="CX1" s="183"/>
      <c r="CY1" s="183"/>
      <c r="CZ1" s="183"/>
      <c r="DA1" s="183"/>
      <c r="DB1" s="183"/>
      <c r="DC1" s="183"/>
      <c r="DD1" s="183"/>
      <c r="DE1" s="183"/>
      <c r="DF1" s="183"/>
      <c r="DG1" s="183"/>
      <c r="DH1" s="183"/>
      <c r="DI1" s="183"/>
      <c r="DJ1" s="183"/>
      <c r="DK1" s="183"/>
      <c r="DL1" s="183"/>
      <c r="DM1" s="183"/>
      <c r="DN1" s="183"/>
      <c r="DO1" s="183"/>
      <c r="DP1" s="183"/>
      <c r="DQ1" s="183"/>
      <c r="DR1" s="183"/>
      <c r="DS1" s="183"/>
      <c r="DT1" s="183"/>
      <c r="DU1" s="183"/>
      <c r="DV1" s="183"/>
      <c r="DW1" s="183"/>
      <c r="DX1" s="183"/>
      <c r="DY1" s="183"/>
      <c r="DZ1" s="183"/>
      <c r="EA1" s="183"/>
      <c r="EB1" s="183"/>
      <c r="EC1" s="183"/>
      <c r="ED1" s="183"/>
      <c r="EE1" s="183"/>
      <c r="EF1" s="183"/>
      <c r="EG1" s="183"/>
      <c r="EH1" s="183"/>
      <c r="EI1" s="183"/>
      <c r="EJ1" s="183"/>
      <c r="EK1" s="183"/>
      <c r="EL1" s="183"/>
      <c r="EM1" s="183"/>
      <c r="EN1" s="183"/>
      <c r="EO1" s="183"/>
      <c r="EP1" s="183"/>
      <c r="EQ1" s="183"/>
      <c r="ER1" s="183"/>
      <c r="ES1" s="183"/>
      <c r="ET1" s="183"/>
      <c r="EU1" s="183"/>
      <c r="EV1" s="183"/>
      <c r="EW1" s="183"/>
      <c r="EX1" s="183"/>
      <c r="EY1" s="183"/>
      <c r="EZ1" s="183"/>
      <c r="FA1" s="183"/>
      <c r="FB1" s="183"/>
      <c r="FC1" s="183"/>
      <c r="FD1" s="183"/>
      <c r="FE1" s="183"/>
      <c r="FF1" s="183"/>
      <c r="FG1" s="183"/>
      <c r="FH1" s="183"/>
      <c r="FI1" s="183"/>
      <c r="FJ1" s="183"/>
      <c r="FK1" s="183"/>
      <c r="FL1" s="183"/>
      <c r="FM1" s="183"/>
      <c r="FN1" s="183"/>
      <c r="FO1" s="183"/>
      <c r="FP1" s="183"/>
      <c r="FQ1" s="183"/>
      <c r="FR1" s="183"/>
      <c r="FS1" s="183"/>
      <c r="FT1" s="183"/>
      <c r="FU1" s="183"/>
      <c r="FV1" s="183"/>
      <c r="FW1" s="183"/>
      <c r="FX1" s="183"/>
      <c r="FY1" s="183"/>
      <c r="FZ1" s="183"/>
      <c r="GA1" s="183"/>
      <c r="GB1" s="183"/>
      <c r="GC1" s="183"/>
      <c r="GD1" s="183"/>
      <c r="GE1" s="183"/>
      <c r="GF1" s="183"/>
      <c r="GG1" s="183"/>
      <c r="GH1" s="183"/>
      <c r="GI1" s="183"/>
      <c r="GJ1" s="183"/>
      <c r="GK1" s="183"/>
      <c r="GL1" s="183"/>
      <c r="GM1" s="183"/>
      <c r="GN1" s="183"/>
      <c r="GO1" s="183"/>
      <c r="GP1" s="183"/>
      <c r="GQ1" s="183"/>
      <c r="GR1" s="183"/>
      <c r="GS1" s="183"/>
      <c r="GT1" s="183"/>
      <c r="GU1" s="183"/>
      <c r="GV1" s="183"/>
      <c r="GW1" s="183"/>
      <c r="GX1" s="183"/>
      <c r="GY1" s="183"/>
      <c r="GZ1" s="183"/>
      <c r="HA1" s="183"/>
      <c r="HB1" s="183"/>
      <c r="HC1" s="183"/>
      <c r="HD1" s="183"/>
      <c r="HE1" s="183"/>
      <c r="HF1" s="183"/>
      <c r="HG1" s="183"/>
      <c r="HH1" s="183"/>
      <c r="HI1" s="183"/>
      <c r="HJ1" s="183"/>
      <c r="HK1" s="183"/>
      <c r="HL1" s="183"/>
      <c r="HM1" s="183"/>
      <c r="HN1" s="183"/>
      <c r="HO1" s="183"/>
      <c r="HP1" s="183"/>
      <c r="HQ1" s="183"/>
      <c r="HR1" s="183"/>
      <c r="HS1" s="183"/>
      <c r="HT1" s="183"/>
      <c r="HU1" s="183"/>
      <c r="HV1" s="183"/>
      <c r="HW1" s="183"/>
      <c r="HX1" s="183"/>
      <c r="HY1" s="183"/>
      <c r="HZ1" s="183"/>
      <c r="IA1" s="183"/>
      <c r="IB1" s="183"/>
      <c r="IC1" s="183"/>
      <c r="ID1" s="183"/>
      <c r="IE1" s="183"/>
      <c r="IF1" s="183"/>
      <c r="IG1" s="183"/>
      <c r="IH1" s="183"/>
      <c r="II1" s="183"/>
      <c r="IJ1" s="183"/>
      <c r="IK1" s="183"/>
      <c r="IL1" s="183"/>
      <c r="IM1" s="183"/>
      <c r="IN1" s="183"/>
      <c r="IO1" s="183"/>
      <c r="IP1" s="183"/>
      <c r="IQ1" s="183"/>
      <c r="IR1" s="183"/>
      <c r="IS1" s="183"/>
      <c r="IT1" s="183"/>
      <c r="IU1" s="183"/>
      <c r="IV1" s="183"/>
    </row>
    <row r="2" ht="35.1" customHeight="1" spans="2:19">
      <c r="B2" s="11" t="s">
        <v>2</v>
      </c>
      <c r="C2" s="12">
        <v>1080</v>
      </c>
      <c r="D2" s="13"/>
      <c r="E2" s="14" t="s">
        <v>3</v>
      </c>
      <c r="F2" s="14" t="s">
        <v>4</v>
      </c>
      <c r="G2" s="15" t="s">
        <v>5</v>
      </c>
      <c r="H2" s="15" t="s">
        <v>6</v>
      </c>
      <c r="I2" s="15" t="s">
        <v>7</v>
      </c>
      <c r="J2" s="15" t="s">
        <v>8</v>
      </c>
      <c r="K2" s="15" t="s">
        <v>9</v>
      </c>
      <c r="L2" s="90" t="str">
        <f>IF(OR(F33&gt;590-(C2/C3)*8.9,C2*C3&gt;(4096*2160)),IF(F33&gt;590-(C2/C3)*8.9,"The bandwidth is too high. Please reduce the resolution or refresh rate."),"OK")</f>
        <v>OK</v>
      </c>
      <c r="M2" s="91"/>
      <c r="N2" s="92"/>
      <c r="R2" s="1"/>
      <c r="S2" s="3"/>
    </row>
    <row r="3" ht="35.1" customHeight="1" spans="2:19">
      <c r="B3" s="11" t="s">
        <v>10</v>
      </c>
      <c r="C3" s="12">
        <v>7680</v>
      </c>
      <c r="D3" s="13"/>
      <c r="E3" s="16" t="s">
        <v>11</v>
      </c>
      <c r="F3" s="17">
        <f>F29</f>
        <v>1080</v>
      </c>
      <c r="G3" s="17">
        <f>J52</f>
        <v>48</v>
      </c>
      <c r="H3" s="17">
        <f>J53</f>
        <v>32</v>
      </c>
      <c r="I3" s="17">
        <f>J41</f>
        <v>1240</v>
      </c>
      <c r="J3" s="17" t="str">
        <f>F37</f>
        <v>POSITIVE</v>
      </c>
      <c r="K3" s="17"/>
      <c r="L3" s="17"/>
      <c r="M3" s="91"/>
      <c r="N3" s="92"/>
      <c r="R3" s="1"/>
      <c r="S3" s="3"/>
    </row>
    <row r="4" ht="35.1" customHeight="1" spans="2:19">
      <c r="B4" s="11" t="s">
        <v>12</v>
      </c>
      <c r="C4" s="12">
        <v>60</v>
      </c>
      <c r="D4" s="13"/>
      <c r="E4" s="16" t="s">
        <v>13</v>
      </c>
      <c r="F4" s="17">
        <f>F30</f>
        <v>7680</v>
      </c>
      <c r="G4" s="17">
        <f>J64</f>
        <v>23</v>
      </c>
      <c r="H4" s="17">
        <f>J65</f>
        <v>10</v>
      </c>
      <c r="I4" s="17">
        <f>J58</f>
        <v>7898</v>
      </c>
      <c r="J4" s="17" t="str">
        <f>F38</f>
        <v>NEGATIVE</v>
      </c>
      <c r="K4" s="17"/>
      <c r="L4" s="17"/>
      <c r="M4" s="91"/>
      <c r="N4" s="92"/>
      <c r="R4" s="1"/>
      <c r="S4" s="3"/>
    </row>
    <row r="5" spans="1:31">
      <c r="A5" s="18"/>
      <c r="B5" s="19"/>
      <c r="C5" s="19"/>
      <c r="D5" s="18"/>
      <c r="E5" s="19"/>
      <c r="F5" s="19"/>
      <c r="G5" s="18"/>
      <c r="H5" s="18"/>
      <c r="I5" s="18"/>
      <c r="J5" s="18"/>
      <c r="K5" s="18"/>
      <c r="L5" s="18"/>
      <c r="M5" s="18"/>
      <c r="R5" s="1"/>
      <c r="S5" s="3"/>
      <c r="W5" s="6"/>
      <c r="AE5" s="1"/>
    </row>
    <row r="6" ht="17.25" hidden="1" spans="1:31">
      <c r="A6" s="18"/>
      <c r="B6" s="19"/>
      <c r="C6" s="19"/>
      <c r="D6" s="18"/>
      <c r="E6" s="19"/>
      <c r="F6" s="19"/>
      <c r="G6" s="18"/>
      <c r="H6" s="18"/>
      <c r="I6" s="18"/>
      <c r="J6" s="18"/>
      <c r="K6" s="18"/>
      <c r="L6" s="18"/>
      <c r="M6" s="18"/>
      <c r="R6" s="1"/>
      <c r="S6" s="3"/>
      <c r="W6" s="6"/>
      <c r="AE6" s="1"/>
    </row>
    <row r="7" ht="24.95" hidden="1" customHeight="1" spans="1:58">
      <c r="A7" s="20"/>
      <c r="B7" s="21"/>
      <c r="C7" s="21"/>
      <c r="D7" s="22"/>
      <c r="E7" s="21"/>
      <c r="F7" s="21"/>
      <c r="G7" s="22"/>
      <c r="H7" s="22"/>
      <c r="I7" s="22"/>
      <c r="J7" s="21"/>
      <c r="K7" s="21"/>
      <c r="L7" s="22"/>
      <c r="M7" s="93"/>
      <c r="O7" s="94" t="s">
        <v>14</v>
      </c>
      <c r="P7" s="95"/>
      <c r="Q7" s="154"/>
      <c r="R7" s="1"/>
      <c r="S7" s="94" t="s">
        <v>15</v>
      </c>
      <c r="T7" s="155"/>
      <c r="U7" s="154"/>
      <c r="W7" s="94" t="s">
        <v>16</v>
      </c>
      <c r="X7" s="155"/>
      <c r="Y7" s="154"/>
      <c r="AA7" s="172" t="s">
        <v>17</v>
      </c>
      <c r="AB7" s="155"/>
      <c r="AC7" s="173"/>
      <c r="AE7" s="1"/>
      <c r="BE7" s="18"/>
      <c r="BF7" s="80"/>
    </row>
    <row r="8" ht="39.95" hidden="1" customHeight="1" spans="1:58">
      <c r="A8" s="23"/>
      <c r="B8" s="24" t="s">
        <v>18</v>
      </c>
      <c r="C8" s="24"/>
      <c r="D8" s="18"/>
      <c r="E8" s="25"/>
      <c r="F8" s="26"/>
      <c r="G8" s="27"/>
      <c r="H8" s="27"/>
      <c r="I8" s="27"/>
      <c r="J8" s="96"/>
      <c r="K8" s="97">
        <f>C2</f>
        <v>1080</v>
      </c>
      <c r="L8" s="98" t="str">
        <f>IF(H_PIXELS&lt;&gt;H_PIXELS_RND,"WARNING! - Rounded to Nearest Character Cell","")</f>
        <v/>
      </c>
      <c r="M8" s="99"/>
      <c r="O8" s="100"/>
      <c r="P8" s="101" t="s">
        <v>19</v>
      </c>
      <c r="Q8" s="156">
        <v>1</v>
      </c>
      <c r="R8" s="1"/>
      <c r="S8" s="110"/>
      <c r="T8" s="157" t="s">
        <v>20</v>
      </c>
      <c r="U8" s="156">
        <f>K100</f>
        <v>550</v>
      </c>
      <c r="W8" s="110"/>
      <c r="X8" s="18" t="s">
        <v>21</v>
      </c>
      <c r="Y8" s="156">
        <f>K123</f>
        <v>460</v>
      </c>
      <c r="AA8" s="174">
        <v>1</v>
      </c>
      <c r="AB8" s="18" t="str">
        <f>IF(OR(H_PIXELS="",V_LINES="",MARGINS_RQD?="",INT_RQD?="",IP_FREQ_RQD="",RED_BLANK_RQD?=""),"ERROR!  Invalid Input Parameters  ","")</f>
        <v/>
      </c>
      <c r="AC8" s="175" t="str">
        <f>IF(OR(H_PIXELS="",V_LINES="",MARGINS_RQD?="",INT_RQD?="",IP_FREQ_RQD="",RED_BLANK_RQD?=""),"Yes","")</f>
        <v/>
      </c>
      <c r="AE8" s="1"/>
      <c r="BE8" s="18"/>
      <c r="BF8" s="80"/>
    </row>
    <row r="9" ht="39.95" hidden="1" customHeight="1" spans="1:58">
      <c r="A9" s="23"/>
      <c r="B9" s="24" t="s">
        <v>22</v>
      </c>
      <c r="C9" s="24"/>
      <c r="D9" s="18"/>
      <c r="E9" s="25"/>
      <c r="F9" s="26"/>
      <c r="G9" s="27"/>
      <c r="H9" s="27"/>
      <c r="I9" s="27"/>
      <c r="J9" s="96"/>
      <c r="K9" s="97">
        <f>C3</f>
        <v>7680</v>
      </c>
      <c r="L9" s="98" t="str">
        <f>IF((V_LINES/IF(INT_RQD?="y",2,1))&lt;&gt;V_LINES_RND,"WARNING! - Rounded to Nearest Whole Line","")</f>
        <v/>
      </c>
      <c r="M9" s="99"/>
      <c r="O9" s="100"/>
      <c r="P9" s="101" t="s">
        <v>23</v>
      </c>
      <c r="Q9" s="156">
        <f>$K$83</f>
        <v>1.8</v>
      </c>
      <c r="R9" s="1"/>
      <c r="S9" s="110"/>
      <c r="T9" s="101" t="s">
        <v>24</v>
      </c>
      <c r="U9" s="156">
        <f>K94</f>
        <v>8</v>
      </c>
      <c r="W9" s="110"/>
      <c r="X9" s="80" t="s">
        <v>25</v>
      </c>
      <c r="Y9" s="156">
        <f>K121</f>
        <v>32</v>
      </c>
      <c r="AA9" s="174">
        <v>2</v>
      </c>
      <c r="AB9" s="18" t="str">
        <f>IF(H_PIXELS&lt;&gt;H_PIXELS_RND,"WARNING!  Horizontal Pixel Count Rounded to Nearest Character Cell","")</f>
        <v/>
      </c>
      <c r="AC9" s="175"/>
      <c r="AE9" s="1"/>
      <c r="BE9" s="18"/>
      <c r="BF9" s="80"/>
    </row>
    <row r="10" ht="39.95" hidden="1" customHeight="1" spans="1:58">
      <c r="A10" s="23"/>
      <c r="B10" s="24" t="s">
        <v>26</v>
      </c>
      <c r="C10" s="24"/>
      <c r="D10" s="18"/>
      <c r="E10" s="19"/>
      <c r="F10" s="19"/>
      <c r="G10" s="18"/>
      <c r="H10" s="18"/>
      <c r="I10" s="102"/>
      <c r="J10" s="18"/>
      <c r="K10" s="103" t="s">
        <v>27</v>
      </c>
      <c r="L10" s="98"/>
      <c r="M10" s="99"/>
      <c r="O10" s="104"/>
      <c r="P10" s="105" t="s">
        <v>28</v>
      </c>
      <c r="Q10" s="156">
        <f>ROUNDDOWN(MIN_V_PORCH,0)</f>
        <v>3</v>
      </c>
      <c r="R10" s="1"/>
      <c r="S10" s="104"/>
      <c r="T10" s="158"/>
      <c r="U10" s="159"/>
      <c r="W10" s="110"/>
      <c r="X10" s="18" t="s">
        <v>29</v>
      </c>
      <c r="Y10" s="156">
        <f>K120</f>
        <v>160</v>
      </c>
      <c r="AA10" s="174">
        <v>3</v>
      </c>
      <c r="AB10" s="18" t="str">
        <f>IF(V_LINES&lt;&gt;(V_LINES_RND*IF(INT_RQD?="Y",2,1)),"WARNING!  Vertical Pixel Count Rounded To Nearest Integer  ","")</f>
        <v/>
      </c>
      <c r="AC10" s="175"/>
      <c r="AE10" s="1"/>
      <c r="BE10" s="18"/>
      <c r="BF10" s="80"/>
    </row>
    <row r="11" ht="39.95" hidden="1" customHeight="1" spans="1:58">
      <c r="A11" s="23"/>
      <c r="B11" s="24" t="s">
        <v>30</v>
      </c>
      <c r="C11" s="24"/>
      <c r="D11" s="18"/>
      <c r="E11" s="19"/>
      <c r="F11" s="19"/>
      <c r="G11" s="18"/>
      <c r="H11" s="18"/>
      <c r="I11" s="102" t="s">
        <v>31</v>
      </c>
      <c r="J11" s="18"/>
      <c r="K11" s="103" t="s">
        <v>27</v>
      </c>
      <c r="L11" s="98"/>
      <c r="M11" s="99"/>
      <c r="O11" s="94" t="s">
        <v>32</v>
      </c>
      <c r="P11" s="95"/>
      <c r="Q11" s="154"/>
      <c r="R11" s="1"/>
      <c r="S11" s="160" t="s">
        <v>33</v>
      </c>
      <c r="T11" s="18"/>
      <c r="U11" s="161"/>
      <c r="V11" s="18"/>
      <c r="W11" s="94" t="s">
        <v>33</v>
      </c>
      <c r="X11" s="155"/>
      <c r="Y11" s="154"/>
      <c r="AA11" s="174">
        <v>4</v>
      </c>
      <c r="AB11" s="18" t="str">
        <f>IF(H36&lt;&gt;"","WARNING!  Aspect Ratio Not CVT Standard","")</f>
        <v>WARNING!  Aspect Ratio Not CVT Standard</v>
      </c>
      <c r="AC11" s="175"/>
      <c r="AE11" s="1"/>
      <c r="BE11" s="18"/>
      <c r="BF11" s="80"/>
    </row>
    <row r="12" ht="39.95" hidden="1" customHeight="1" spans="1:58">
      <c r="A12" s="23"/>
      <c r="B12" s="24" t="s">
        <v>34</v>
      </c>
      <c r="C12" s="24"/>
      <c r="D12" s="18"/>
      <c r="E12" s="19"/>
      <c r="F12" s="19"/>
      <c r="G12" s="27" t="str">
        <f>"NOTE: Actual frame rate will be within +/- 0.6Hz due to pixel clock rounding to "&amp;CLOCK_STEP&amp;"MHz."</f>
        <v>NOTE: Actual frame rate will be within +/- 0.6Hz due to pixel clock rounding to 0.001MHz.</v>
      </c>
      <c r="H12" s="28"/>
      <c r="I12" s="28"/>
      <c r="J12" s="106"/>
      <c r="K12" s="107">
        <f>C4</f>
        <v>60</v>
      </c>
      <c r="L12" s="108" t="s">
        <v>35</v>
      </c>
      <c r="M12" s="109"/>
      <c r="O12" s="110">
        <v>1</v>
      </c>
      <c r="P12" s="28" t="s">
        <v>36</v>
      </c>
      <c r="Q12" s="161"/>
      <c r="R12" s="1"/>
      <c r="S12" s="110">
        <f>O32+1</f>
        <v>8</v>
      </c>
      <c r="T12" s="80" t="s">
        <v>37</v>
      </c>
      <c r="U12" s="156"/>
      <c r="V12" s="18"/>
      <c r="W12" s="110">
        <f>O32+1</f>
        <v>8</v>
      </c>
      <c r="X12" s="80" t="s">
        <v>37</v>
      </c>
      <c r="Y12" s="156"/>
      <c r="AA12" s="174">
        <v>5</v>
      </c>
      <c r="AB12" s="18" t="str">
        <f>IF(OR(IP_FREQ_RQD=50,IP_FREQ_RQD=60,IP_FREQ_RQD=75,IP_FREQ_RQD=85),"","WARNING!  Refresh Rate Not a CVT Standard  ")</f>
        <v/>
      </c>
      <c r="AC12" s="175"/>
      <c r="AE12" s="1"/>
      <c r="BE12" s="18"/>
      <c r="BF12" s="80"/>
    </row>
    <row r="13" ht="39.95" hidden="1" customHeight="1" spans="1:58">
      <c r="A13" s="23"/>
      <c r="B13" s="24" t="s">
        <v>38</v>
      </c>
      <c r="C13" s="24"/>
      <c r="D13" s="18"/>
      <c r="E13" s="19"/>
      <c r="F13" s="19"/>
      <c r="G13" s="29"/>
      <c r="H13" s="30"/>
      <c r="I13" s="30"/>
      <c r="J13" s="28"/>
      <c r="K13" s="103" t="s">
        <v>39</v>
      </c>
      <c r="L13" s="98"/>
      <c r="M13" s="99"/>
      <c r="O13" s="110"/>
      <c r="P13" s="68" t="s">
        <v>40</v>
      </c>
      <c r="Q13" s="156">
        <f>(IF(INT_RQD?="y",IP_FREQ_RQD*2,IP_FREQ_RQD))</f>
        <v>60</v>
      </c>
      <c r="R13" s="1"/>
      <c r="S13" s="110"/>
      <c r="T13" s="80" t="s">
        <v>41</v>
      </c>
      <c r="U13" s="156">
        <f>((1/V_FIELD_RATE_RQD)-MIN_VSYNC_BP/1000000)/(V_LINES_RND+(2*TOP_MARGIN)+MIN_V_PORCH_RND+INTERLACE)*1000000</f>
        <v>2.09770488958306</v>
      </c>
      <c r="W13" s="110"/>
      <c r="X13" s="80" t="s">
        <v>41</v>
      </c>
      <c r="Y13" s="156">
        <f>((1000000/V_FIELD_RATE_RQD)-RB_MIN_V_BLANK)/(V_LINES_RND+TOP_MARGIN+BOT_MARGIN)</f>
        <v>2.11024305555556</v>
      </c>
      <c r="AA13" s="174">
        <v>6</v>
      </c>
      <c r="AB13" s="18" t="str">
        <f>IF(AND(RED_BLANK_RQD?="Y",IP_FREQ_RQD&lt;&gt;60),"WARNING!  60Hz Refresh Rate Advised For Reduced Blanking","")</f>
        <v/>
      </c>
      <c r="AC13" s="175"/>
      <c r="AE13" s="1"/>
      <c r="BE13" s="18"/>
      <c r="BF13" s="80"/>
    </row>
    <row r="14" ht="24.95" hidden="1" customHeight="1" spans="1:58">
      <c r="A14" s="23"/>
      <c r="B14" s="24"/>
      <c r="C14" s="24"/>
      <c r="D14" s="18"/>
      <c r="E14" s="19"/>
      <c r="F14" s="19"/>
      <c r="G14" s="29"/>
      <c r="H14" s="30"/>
      <c r="I14" s="30"/>
      <c r="J14" s="28"/>
      <c r="K14" s="24"/>
      <c r="L14" s="111"/>
      <c r="M14" s="99"/>
      <c r="O14" s="110"/>
      <c r="P14" s="68"/>
      <c r="Q14" s="156"/>
      <c r="R14" s="1"/>
      <c r="S14" s="110"/>
      <c r="T14" s="18"/>
      <c r="U14" s="161"/>
      <c r="W14" s="110"/>
      <c r="X14" s="18"/>
      <c r="Y14" s="161"/>
      <c r="AA14" s="176"/>
      <c r="AB14" s="18"/>
      <c r="AC14" s="175"/>
      <c r="AE14" s="1"/>
      <c r="BE14" s="18"/>
      <c r="BF14" s="80"/>
    </row>
    <row r="15" ht="24.95" hidden="1" customHeight="1" spans="1:58">
      <c r="A15" s="23"/>
      <c r="B15" s="24"/>
      <c r="C15" s="31" t="s">
        <v>42</v>
      </c>
      <c r="D15" s="32" t="str">
        <f>IF(AA16="","OK",AA16)</f>
        <v>WARNING!  Aspect Ratio Not CVT Standard
</v>
      </c>
      <c r="E15" s="33"/>
      <c r="F15" s="33"/>
      <c r="G15" s="34"/>
      <c r="H15" s="34"/>
      <c r="I15" s="34"/>
      <c r="J15" s="34"/>
      <c r="K15" s="34"/>
      <c r="L15" s="112"/>
      <c r="M15" s="113"/>
      <c r="O15" s="110">
        <f>O12+1</f>
        <v>2</v>
      </c>
      <c r="P15" s="68" t="s">
        <v>43</v>
      </c>
      <c r="Q15" s="156"/>
      <c r="R15" s="1"/>
      <c r="S15" s="110">
        <f>S12+1</f>
        <v>9</v>
      </c>
      <c r="T15" s="18" t="s">
        <v>44</v>
      </c>
      <c r="U15" s="161"/>
      <c r="W15" s="110">
        <f>W12+1</f>
        <v>9</v>
      </c>
      <c r="X15" s="80" t="s">
        <v>45</v>
      </c>
      <c r="Y15" s="156"/>
      <c r="AA15" s="172" t="s">
        <v>46</v>
      </c>
      <c r="AB15" s="155"/>
      <c r="AC15" s="173"/>
      <c r="AE15" s="1"/>
      <c r="BE15" s="18"/>
      <c r="BF15" s="80"/>
    </row>
    <row r="16" ht="24.95" hidden="1" customHeight="1" spans="1:58">
      <c r="A16" s="23"/>
      <c r="B16" s="24"/>
      <c r="C16" s="35"/>
      <c r="D16" s="36"/>
      <c r="E16" s="37"/>
      <c r="F16" s="37"/>
      <c r="G16" s="38"/>
      <c r="H16" s="38"/>
      <c r="I16" s="38"/>
      <c r="J16" s="38"/>
      <c r="K16" s="38"/>
      <c r="L16" s="114"/>
      <c r="M16" s="113"/>
      <c r="O16" s="110"/>
      <c r="P16" s="68" t="s">
        <v>47</v>
      </c>
      <c r="Q16" s="162">
        <f>ROUNDDOWN(H_PIXELS/CELL_GRAN_RND,0)*CELL_GRAN_RND</f>
        <v>1080</v>
      </c>
      <c r="R16" s="1"/>
      <c r="S16" s="110"/>
      <c r="T16" s="80" t="s">
        <v>48</v>
      </c>
      <c r="U16" s="163">
        <f>ROUNDDOWN((MIN_VSYNC_BP/H_PERIOD_EST),0)+1</f>
        <v>261</v>
      </c>
      <c r="W16" s="110"/>
      <c r="X16" s="80" t="s">
        <v>49</v>
      </c>
      <c r="Y16" s="156">
        <f>ROUNDDOWN(RB_MIN_V_BLANK/H_PERIOD_EST,0)+1</f>
        <v>218</v>
      </c>
      <c r="AA16" s="177" t="str">
        <f>IF(AB8&lt;&gt;"",AB8&amp;CHAR(10),"")&amp;IF(AB9&lt;&gt;"",AB9&amp;CHAR(10),"")&amp;IF(AB10&lt;&gt;"",AB10&amp;CHAR(10),"")&amp;IF(AB11&lt;&gt;"",AB11&amp;CHAR(10),"")&amp;IF(AB12&lt;&gt;"",AB12&amp;CHAR(10),"")&amp;IF(AB13&lt;&gt;"",AB13&amp;CHAR(10),"")</f>
        <v>WARNING!  Aspect Ratio Not CVT Standard
</v>
      </c>
      <c r="AB16" s="50"/>
      <c r="AC16" s="178"/>
      <c r="AE16" s="1"/>
      <c r="BE16" s="18"/>
      <c r="BF16" s="80"/>
    </row>
    <row r="17" ht="24.95" hidden="1" customHeight="1" spans="1:58">
      <c r="A17" s="23"/>
      <c r="B17" s="24"/>
      <c r="C17" s="35"/>
      <c r="D17" s="36"/>
      <c r="E17" s="37"/>
      <c r="F17" s="37"/>
      <c r="G17" s="38"/>
      <c r="H17" s="38"/>
      <c r="I17" s="38"/>
      <c r="J17" s="38"/>
      <c r="K17" s="38"/>
      <c r="L17" s="114"/>
      <c r="M17" s="113"/>
      <c r="O17" s="110"/>
      <c r="P17" s="28"/>
      <c r="Q17" s="156"/>
      <c r="R17" s="1"/>
      <c r="S17" s="110"/>
      <c r="T17" s="80" t="s">
        <v>50</v>
      </c>
      <c r="U17" s="161">
        <f>((MIN_VSYNC_BP/H_PERIOD_EST))</f>
        <v>260.633484162896</v>
      </c>
      <c r="V17" s="80"/>
      <c r="W17" s="110"/>
      <c r="X17" s="18" t="s">
        <v>51</v>
      </c>
      <c r="Y17" s="161">
        <f>RB_MIN_V_BLANK/H_PERIOD_EST</f>
        <v>217.984368572604</v>
      </c>
      <c r="AA17" s="179"/>
      <c r="AB17" s="50"/>
      <c r="AC17" s="178"/>
      <c r="AE17" s="1"/>
      <c r="BE17" s="18"/>
      <c r="BF17" s="80"/>
    </row>
    <row r="18" ht="24.95" hidden="1" customHeight="1" spans="1:58">
      <c r="A18" s="23"/>
      <c r="B18" s="24"/>
      <c r="C18" s="35"/>
      <c r="D18" s="36"/>
      <c r="E18" s="37"/>
      <c r="F18" s="37"/>
      <c r="G18" s="38"/>
      <c r="H18" s="38"/>
      <c r="I18" s="38"/>
      <c r="J18" s="38"/>
      <c r="K18" s="38"/>
      <c r="L18" s="114"/>
      <c r="M18" s="113"/>
      <c r="O18" s="110">
        <f>O15+1</f>
        <v>3</v>
      </c>
      <c r="P18" s="28" t="s">
        <v>52</v>
      </c>
      <c r="Q18" s="156"/>
      <c r="R18" s="1"/>
      <c r="S18" s="110"/>
      <c r="T18" s="80" t="s">
        <v>53</v>
      </c>
      <c r="U18" s="161">
        <f>IF(U16&lt;(V_SYNC+MIN_V_BPORCH),V_SYNC+MIN_V_BPORCH,U16)</f>
        <v>261</v>
      </c>
      <c r="W18" s="110"/>
      <c r="X18" s="18"/>
      <c r="Y18" s="161"/>
      <c r="AA18" s="180"/>
      <c r="AB18" s="181"/>
      <c r="AC18" s="182"/>
      <c r="AE18" s="1"/>
      <c r="BE18" s="18"/>
      <c r="BF18" s="80"/>
    </row>
    <row r="19" ht="24.95" hidden="1" customHeight="1" spans="1:58">
      <c r="A19" s="23"/>
      <c r="B19" s="24"/>
      <c r="C19" s="35"/>
      <c r="D19" s="36"/>
      <c r="E19" s="37"/>
      <c r="F19" s="37"/>
      <c r="G19" s="38"/>
      <c r="H19" s="38"/>
      <c r="I19" s="38"/>
      <c r="J19" s="38"/>
      <c r="K19" s="38"/>
      <c r="L19" s="114"/>
      <c r="M19" s="113"/>
      <c r="O19" s="110"/>
      <c r="P19" s="68" t="s">
        <v>54</v>
      </c>
      <c r="Q19" s="162">
        <f>(IF(MARGINS_RQD?="Y",(ROUNDDOWN((H_PIXELS_RND*MARGIN_PER/100/CELL_GRAN_RND),0))*CELL_GRAN_RND,0))</f>
        <v>0</v>
      </c>
      <c r="R19" s="1"/>
      <c r="S19" s="110"/>
      <c r="T19" s="80"/>
      <c r="U19" s="161"/>
      <c r="V19" s="80"/>
      <c r="W19" s="110">
        <f>W15+1</f>
        <v>10</v>
      </c>
      <c r="X19" s="164" t="s">
        <v>55</v>
      </c>
      <c r="Y19" s="161"/>
      <c r="AA19" s="2"/>
      <c r="AE19" s="1"/>
      <c r="BE19" s="18"/>
      <c r="BF19" s="80"/>
    </row>
    <row r="20" ht="24.95" hidden="1" customHeight="1" spans="1:58">
      <c r="A20" s="23"/>
      <c r="B20" s="24"/>
      <c r="C20" s="35"/>
      <c r="D20" s="39"/>
      <c r="E20" s="40"/>
      <c r="F20" s="40"/>
      <c r="G20" s="41"/>
      <c r="H20" s="41"/>
      <c r="I20" s="41"/>
      <c r="J20" s="41"/>
      <c r="K20" s="41"/>
      <c r="L20" s="115"/>
      <c r="M20" s="113"/>
      <c r="O20" s="110"/>
      <c r="P20" s="68" t="s">
        <v>56</v>
      </c>
      <c r="Q20" s="162">
        <f>(IF(MARGINS_RQD?="Y",(ROUNDDOWN((H_PIXELS_RND*MARGIN_PER/100/CELL_GRAN_RND),0))*CELL_GRAN_RND,0))</f>
        <v>0</v>
      </c>
      <c r="R20" s="1"/>
      <c r="S20" s="110">
        <f>S15+1</f>
        <v>10</v>
      </c>
      <c r="T20" s="18" t="s">
        <v>57</v>
      </c>
      <c r="U20" s="161"/>
      <c r="V20" s="80"/>
      <c r="W20" s="110"/>
      <c r="X20" s="164" t="s">
        <v>58</v>
      </c>
      <c r="Y20" s="161">
        <f>RB_V_FPORCH+V_SYNC_RND+MIN_V_BPORCH</f>
        <v>39</v>
      </c>
      <c r="AA20" s="2"/>
      <c r="AE20" s="1"/>
      <c r="BE20" s="18"/>
      <c r="BF20" s="80"/>
    </row>
    <row r="21" ht="24.95" hidden="1" customHeight="1" spans="1:58">
      <c r="A21" s="42"/>
      <c r="B21" s="43"/>
      <c r="C21" s="44"/>
      <c r="D21" s="45"/>
      <c r="E21" s="44"/>
      <c r="F21" s="44"/>
      <c r="G21" s="45"/>
      <c r="H21" s="45"/>
      <c r="I21" s="45"/>
      <c r="J21" s="45"/>
      <c r="K21" s="116"/>
      <c r="L21" s="117"/>
      <c r="M21" s="118"/>
      <c r="O21" s="110"/>
      <c r="P21" s="68"/>
      <c r="Q21" s="162"/>
      <c r="R21" s="1"/>
      <c r="S21" s="110"/>
      <c r="T21" s="18" t="s">
        <v>59</v>
      </c>
      <c r="U21" s="162">
        <f>V_SYNC_BP-V_SYNC_RND</f>
        <v>251</v>
      </c>
      <c r="W21" s="110"/>
      <c r="X21" s="164" t="s">
        <v>60</v>
      </c>
      <c r="Y21" s="161">
        <f>IF(VBI_LINES&lt;RB_MIN_VBI,RB_MIN_VBI,VBI_LINES)</f>
        <v>218</v>
      </c>
      <c r="AA21" s="2"/>
      <c r="AE21" s="1"/>
      <c r="BE21" s="18"/>
      <c r="BF21" s="80"/>
    </row>
    <row r="22" ht="24.95" hidden="1" customHeight="1" spans="1:58">
      <c r="A22" s="22"/>
      <c r="B22" s="46"/>
      <c r="C22" s="21"/>
      <c r="D22" s="22"/>
      <c r="E22" s="21"/>
      <c r="F22" s="21"/>
      <c r="G22" s="22"/>
      <c r="H22" s="22"/>
      <c r="I22" s="22"/>
      <c r="J22" s="22"/>
      <c r="K22" s="119"/>
      <c r="L22" s="120"/>
      <c r="M22" s="22"/>
      <c r="O22" s="110">
        <f>O18+1</f>
        <v>4</v>
      </c>
      <c r="P22" s="68" t="s">
        <v>61</v>
      </c>
      <c r="Q22" s="162"/>
      <c r="R22" s="1"/>
      <c r="S22" s="110"/>
      <c r="T22" s="18"/>
      <c r="U22" s="161"/>
      <c r="W22" s="110"/>
      <c r="X22" s="18"/>
      <c r="Y22" s="161"/>
      <c r="AA22" s="2"/>
      <c r="AE22" s="1"/>
      <c r="BE22" s="18"/>
      <c r="BF22" s="80"/>
    </row>
    <row r="23" ht="24.95" hidden="1" customHeight="1" spans="1:58">
      <c r="A23" s="18"/>
      <c r="B23" s="47"/>
      <c r="C23" s="19"/>
      <c r="D23" s="18"/>
      <c r="E23" s="19"/>
      <c r="F23" s="19"/>
      <c r="G23" s="18"/>
      <c r="H23" s="18"/>
      <c r="I23" s="18"/>
      <c r="J23" s="18"/>
      <c r="K23" s="24"/>
      <c r="L23" s="80"/>
      <c r="M23" s="18"/>
      <c r="O23" s="110"/>
      <c r="P23" s="28" t="s">
        <v>62</v>
      </c>
      <c r="Q23" s="162">
        <f>H_PIXELS_RND+LEFT_MARGIN+RIGHT_MARGIN</f>
        <v>1080</v>
      </c>
      <c r="R23" s="1"/>
      <c r="S23" s="110">
        <f>S20+1</f>
        <v>11</v>
      </c>
      <c r="T23" s="80" t="s">
        <v>63</v>
      </c>
      <c r="U23" s="156"/>
      <c r="W23" s="110">
        <f>W19+1</f>
        <v>11</v>
      </c>
      <c r="X23" s="80" t="s">
        <v>63</v>
      </c>
      <c r="Y23" s="156"/>
      <c r="AA23" s="2"/>
      <c r="AE23" s="1"/>
      <c r="BE23" s="18"/>
      <c r="BF23" s="80"/>
    </row>
    <row r="24" ht="24.95" hidden="1" customHeight="1" spans="1:58">
      <c r="A24" s="48" t="str">
        <f>"Format: "&amp;F29&amp;" x "&amp;F30&amp;" @ "&amp;IP_FREQ_RQD&amp;" Hz"&amp;IF(RED_BLANK_RQD?="Y"," - Reduced Blanking","")</f>
        <v>Format: 1080 x 7680 @ 60 Hz - Reduced Blanking</v>
      </c>
      <c r="B24" s="49"/>
      <c r="C24" s="49"/>
      <c r="D24" s="50"/>
      <c r="E24" s="49"/>
      <c r="F24" s="49"/>
      <c r="G24" s="50"/>
      <c r="H24" s="50"/>
      <c r="I24" s="50"/>
      <c r="J24" s="50"/>
      <c r="K24" s="50"/>
      <c r="L24" s="50"/>
      <c r="M24" s="50"/>
      <c r="O24" s="110"/>
      <c r="P24" s="28"/>
      <c r="Q24" s="162"/>
      <c r="R24" s="1"/>
      <c r="S24" s="110"/>
      <c r="T24" s="56" t="s">
        <v>64</v>
      </c>
      <c r="U24" s="163">
        <f>V_LINES_RND+TOP_MARGIN+BOT_MARGIN+V_SYNC_BP+INTERLACE+MIN_V_PORCH_RND</f>
        <v>7944</v>
      </c>
      <c r="W24" s="110"/>
      <c r="X24" s="56" t="s">
        <v>64</v>
      </c>
      <c r="Y24" s="156">
        <f>ACT_VBI_LINES+V_LINES_RND+TOP_MARGIN+BOT_MARGIN+INTERLACE</f>
        <v>7898</v>
      </c>
      <c r="AA24" s="2"/>
      <c r="AE24" s="1"/>
      <c r="BE24" s="18"/>
      <c r="BF24" s="80"/>
    </row>
    <row r="25" ht="24.95" hidden="1" customHeight="1" spans="1:58">
      <c r="A25" s="50"/>
      <c r="B25" s="49"/>
      <c r="C25" s="49"/>
      <c r="D25" s="50"/>
      <c r="E25" s="49"/>
      <c r="F25" s="49"/>
      <c r="G25" s="50"/>
      <c r="H25" s="50"/>
      <c r="I25" s="50"/>
      <c r="J25" s="50"/>
      <c r="K25" s="50"/>
      <c r="L25" s="50"/>
      <c r="M25" s="50"/>
      <c r="O25" s="110">
        <f>O22+1</f>
        <v>5</v>
      </c>
      <c r="P25" s="121" t="s">
        <v>65</v>
      </c>
      <c r="Q25" s="162"/>
      <c r="R25" s="1"/>
      <c r="S25" s="110"/>
      <c r="T25" s="80"/>
      <c r="U25" s="156"/>
      <c r="W25" s="110"/>
      <c r="X25" s="18"/>
      <c r="Y25" s="161"/>
      <c r="AA25" s="2"/>
      <c r="AE25" s="1"/>
      <c r="BE25" s="18"/>
      <c r="BF25" s="80"/>
    </row>
    <row r="26" ht="24.95" hidden="1" customHeight="1" spans="1:58">
      <c r="A26" s="48" t="str">
        <f>"VESA CVT Name: "&amp;IF(D15="OK",TEXT(H_PIXELS_RND*V_LINES_RND/1000000,"0.00")&amp;"M"&amp;IF(ASPECT_RATIO="4:3","3",IF(ASPECT_RATIO="5:4","4",IF(OR(ASPECT_RATIO="15:9",ASPECT_RATIO="16:9"),"9",IF(ASPECT_RATIO="16:10","A",""))))&amp;IF(RED_BLANK_RQD?="Y","-R",""),"NOT CVT STANDARD! - "&amp;TEXT(H_PIXELS_RND*V_LINES_RND/1000000,"0.00")&amp;" Mega Pixel Image")</f>
        <v>VESA CVT Name: NOT CVT STANDARD! - 8.29 Mega Pixel Image</v>
      </c>
      <c r="B26" s="49"/>
      <c r="C26" s="49"/>
      <c r="D26" s="50"/>
      <c r="E26" s="49"/>
      <c r="F26" s="49"/>
      <c r="G26" s="50"/>
      <c r="H26" s="50"/>
      <c r="I26" s="50"/>
      <c r="J26" s="50"/>
      <c r="K26" s="50"/>
      <c r="L26" s="50"/>
      <c r="M26" s="50"/>
      <c r="O26" s="110"/>
      <c r="P26" s="68" t="s">
        <v>66</v>
      </c>
      <c r="Q26" s="162">
        <f>IF(INT_RQD?="y",ROUNDDOWN(V_LINES/2,0),ROUNDDOWN(V_LINES,0))</f>
        <v>7680</v>
      </c>
      <c r="R26" s="1"/>
      <c r="S26" s="110">
        <f>S23+1</f>
        <v>12</v>
      </c>
      <c r="T26" s="18" t="s">
        <v>67</v>
      </c>
      <c r="U26" s="161"/>
      <c r="W26" s="110">
        <f>W23+1</f>
        <v>12</v>
      </c>
      <c r="X26" s="80" t="s">
        <v>68</v>
      </c>
      <c r="Y26" s="156"/>
      <c r="AA26" s="2"/>
      <c r="AE26" s="1"/>
      <c r="BE26" s="18"/>
      <c r="BF26" s="80"/>
    </row>
    <row r="27" ht="24.95" hidden="1" customHeight="1" spans="1:58">
      <c r="A27" s="50"/>
      <c r="B27" s="49"/>
      <c r="C27" s="49"/>
      <c r="D27" s="50"/>
      <c r="E27" s="49"/>
      <c r="F27" s="49"/>
      <c r="G27" s="50"/>
      <c r="H27" s="50"/>
      <c r="I27" s="50"/>
      <c r="J27" s="50"/>
      <c r="K27" s="50"/>
      <c r="L27" s="50"/>
      <c r="M27" s="50"/>
      <c r="O27" s="110"/>
      <c r="P27" s="68"/>
      <c r="Q27" s="162"/>
      <c r="R27" s="1"/>
      <c r="S27" s="110"/>
      <c r="T27" s="80" t="s">
        <v>69</v>
      </c>
      <c r="U27" s="156">
        <f>C_PRIME-(M_PRIME*H_PERIOD_EST/1000)</f>
        <v>29.3669270833333</v>
      </c>
      <c r="W27" s="110"/>
      <c r="X27" s="80" t="s">
        <v>70</v>
      </c>
      <c r="Y27" s="156">
        <f>RB_H_BLANK+TOTAL_ACTIVE_PIXELS</f>
        <v>1240</v>
      </c>
      <c r="AA27" s="2"/>
      <c r="AE27" s="1"/>
      <c r="BE27" s="18"/>
      <c r="BF27" s="80"/>
    </row>
    <row r="28" ht="24.95" hidden="1" customHeight="1" spans="1:58">
      <c r="A28" s="51"/>
      <c r="B28" s="52"/>
      <c r="C28" s="52"/>
      <c r="D28" s="52"/>
      <c r="E28" s="52"/>
      <c r="F28" s="52"/>
      <c r="G28" s="52"/>
      <c r="H28" s="53"/>
      <c r="I28" s="52"/>
      <c r="J28" s="122"/>
      <c r="K28" s="52"/>
      <c r="L28" s="52"/>
      <c r="M28" s="123"/>
      <c r="O28" s="110">
        <f>O25+1</f>
        <v>6</v>
      </c>
      <c r="P28" s="68" t="s">
        <v>71</v>
      </c>
      <c r="Q28" s="162"/>
      <c r="R28" s="1"/>
      <c r="S28" s="110"/>
      <c r="T28" s="80"/>
      <c r="U28" s="156"/>
      <c r="W28" s="110"/>
      <c r="X28" s="18"/>
      <c r="Y28" s="161"/>
      <c r="AA28" s="2"/>
      <c r="AE28" s="1"/>
      <c r="BE28" s="18"/>
      <c r="BF28" s="80"/>
    </row>
    <row r="29" ht="24.95" hidden="1" customHeight="1" spans="1:58">
      <c r="A29" s="23"/>
      <c r="B29" s="24" t="s">
        <v>72</v>
      </c>
      <c r="C29" s="19"/>
      <c r="D29" s="18"/>
      <c r="E29" s="19"/>
      <c r="F29" s="54">
        <f>H_PIXELS_RND</f>
        <v>1080</v>
      </c>
      <c r="G29" s="28" t="s">
        <v>73</v>
      </c>
      <c r="H29" s="55"/>
      <c r="I29" s="18"/>
      <c r="J29" s="124"/>
      <c r="K29" s="19"/>
      <c r="L29" s="18"/>
      <c r="M29" s="125"/>
      <c r="O29" s="110"/>
      <c r="P29" s="68" t="s">
        <v>74</v>
      </c>
      <c r="Q29" s="162">
        <f>(IF(MARGINS_RQD?="Y",ROUNDDOWN((MARGIN_PER/100*V_LINES_RND),0),0))</f>
        <v>0</v>
      </c>
      <c r="R29" s="1"/>
      <c r="S29" s="110">
        <f>S26+1</f>
        <v>13</v>
      </c>
      <c r="T29" s="80" t="s">
        <v>75</v>
      </c>
      <c r="U29" s="156"/>
      <c r="W29" s="110">
        <f>W26+1</f>
        <v>13</v>
      </c>
      <c r="X29" s="164" t="s">
        <v>76</v>
      </c>
      <c r="Y29" s="156"/>
      <c r="AA29" s="2"/>
      <c r="AE29" s="1"/>
      <c r="BE29" s="18"/>
      <c r="BF29" s="80"/>
    </row>
    <row r="30" ht="24.95" hidden="1" customHeight="1" spans="1:58">
      <c r="A30" s="23"/>
      <c r="B30" s="24" t="s">
        <v>77</v>
      </c>
      <c r="C30" s="19"/>
      <c r="D30" s="18"/>
      <c r="E30" s="24" t="str">
        <f>(IF(INT_RQD?="y","PER FRAME:",""))</f>
        <v/>
      </c>
      <c r="F30" s="54">
        <f>IF(INT_RQD?="y",2*V_LINES_RND,V_LINES_RND)</f>
        <v>7680</v>
      </c>
      <c r="G30" s="28" t="s">
        <v>78</v>
      </c>
      <c r="H30" s="55"/>
      <c r="I30" s="126" t="str">
        <f>(IF(INT_RQD?="y","PER FIELD:",""))</f>
        <v/>
      </c>
      <c r="J30" s="54" t="str">
        <f>(IF(INT_RQD?="y",V_LINES_RND,""))</f>
        <v/>
      </c>
      <c r="K30" s="28" t="str">
        <f>(IF($K$11="y","LINES",""))</f>
        <v/>
      </c>
      <c r="L30" s="18"/>
      <c r="M30" s="125"/>
      <c r="O30" s="110"/>
      <c r="P30" s="68" t="s">
        <v>79</v>
      </c>
      <c r="Q30" s="162">
        <f>(IF(MARGINS_RQD?="Y",ROUNDDOWN((MARGIN_PER/100*V_LINES_RND),0),0))</f>
        <v>0</v>
      </c>
      <c r="R30" s="1"/>
      <c r="S30" s="110"/>
      <c r="T30" s="80" t="s">
        <v>80</v>
      </c>
      <c r="U30" s="162">
        <f>IF(IDEAL_DUTY_CYCLE&lt;20,(ROUNDDOWN((TOTAL_ACTIVE_PIXELS*20/(100-20)/(2*CELL_GRAN_RND)),0))*(2*CELL_GRAN_RND),(ROUNDDOWN((TOTAL_ACTIVE_PIXELS*IDEAL_DUTY_CYCLE/(100-IDEAL_DUTY_CYCLE)/(2*CELL_GRAN_RND)),0))*(2*CELL_GRAN_RND))</f>
        <v>448</v>
      </c>
      <c r="W30" s="110"/>
      <c r="X30" s="164" t="str">
        <f>"Rounded down to "&amp;CLOCK_STEP&amp;"MHz ="</f>
        <v>Rounded down to 0.001MHz =</v>
      </c>
      <c r="Y30" s="156">
        <f>CLOCK_STEP*ROUNDDOWN((V_FIELD_RATE_RQD*TOTAL_V_LINES*TOTAL_PIXELS/1000000)/CLOCK_STEP,0)</f>
        <v>587.611</v>
      </c>
      <c r="AA30" s="2"/>
      <c r="AE30" s="1"/>
      <c r="BE30" s="18"/>
      <c r="BF30" s="80"/>
    </row>
    <row r="31" ht="24.95" hidden="1" customHeight="1" spans="1:58">
      <c r="A31" s="23"/>
      <c r="B31" s="24" t="s">
        <v>81</v>
      </c>
      <c r="C31" s="19"/>
      <c r="D31" s="18"/>
      <c r="E31" s="19"/>
      <c r="F31" s="25">
        <f>ACT_H_FREQ</f>
        <v>473.879838709677</v>
      </c>
      <c r="G31" s="28" t="s">
        <v>82</v>
      </c>
      <c r="H31" s="56"/>
      <c r="I31" s="18"/>
      <c r="J31" s="124"/>
      <c r="K31" s="19"/>
      <c r="L31" s="18"/>
      <c r="M31" s="125"/>
      <c r="O31" s="110"/>
      <c r="P31" s="28"/>
      <c r="Q31" s="156"/>
      <c r="R31" s="1"/>
      <c r="S31" s="110"/>
      <c r="T31" s="80"/>
      <c r="U31" s="156"/>
      <c r="W31" s="110"/>
      <c r="X31" s="164" t="s">
        <v>83</v>
      </c>
      <c r="Y31" s="156">
        <f>V_FIELD_RATE_RQD*TOTAL_V_LINES*TOTAL_PIXELS/1000000</f>
        <v>587.6112</v>
      </c>
      <c r="AA31" s="2"/>
      <c r="AE31" s="1"/>
      <c r="BE31" s="18"/>
      <c r="BF31" s="80"/>
    </row>
    <row r="32" ht="24.95" hidden="1" customHeight="1" spans="1:58">
      <c r="A32" s="23"/>
      <c r="B32" s="24" t="s">
        <v>84</v>
      </c>
      <c r="C32" s="19"/>
      <c r="D32" s="18"/>
      <c r="E32" s="24" t="str">
        <f>(IF(INT_RQD?="y","FRAME RATE:",""))</f>
        <v/>
      </c>
      <c r="F32" s="25">
        <f>ACT_FRAME_RATE</f>
        <v>59.9999795783334</v>
      </c>
      <c r="G32" s="28" t="s">
        <v>35</v>
      </c>
      <c r="H32" s="57"/>
      <c r="I32" s="126" t="str">
        <f>(IF(INT_RQD?="y","FIELD RATE:",""))</f>
        <v/>
      </c>
      <c r="J32" s="57" t="str">
        <f>(IF(INT_RQD?="y",ACT_FIELD_RATE,""))</f>
        <v/>
      </c>
      <c r="K32" s="18" t="str">
        <f>(IF($K$11="y","Hz",""))</f>
        <v/>
      </c>
      <c r="L32" s="18"/>
      <c r="M32" s="125"/>
      <c r="O32" s="110">
        <f>O28+1</f>
        <v>7</v>
      </c>
      <c r="P32" s="121" t="s">
        <v>85</v>
      </c>
      <c r="Q32" s="156"/>
      <c r="R32" s="1"/>
      <c r="S32" s="110">
        <f>S29+1</f>
        <v>14</v>
      </c>
      <c r="T32" s="80" t="s">
        <v>68</v>
      </c>
      <c r="U32" s="156"/>
      <c r="W32" s="110"/>
      <c r="X32" s="18"/>
      <c r="Y32" s="161"/>
      <c r="AA32" s="2"/>
      <c r="AE32" s="1"/>
      <c r="BE32" s="18"/>
      <c r="BF32" s="80"/>
    </row>
    <row r="33" ht="24.95" hidden="1" customHeight="1" spans="1:58">
      <c r="A33" s="23"/>
      <c r="B33" s="24" t="s">
        <v>86</v>
      </c>
      <c r="C33" s="19"/>
      <c r="D33" s="18"/>
      <c r="E33" s="19"/>
      <c r="F33" s="25">
        <f>ACT_PIXEL_FREQ</f>
        <v>587.611</v>
      </c>
      <c r="G33" s="28" t="s">
        <v>87</v>
      </c>
      <c r="H33" s="56"/>
      <c r="I33" s="18"/>
      <c r="J33" s="69">
        <v>1</v>
      </c>
      <c r="K33" s="18" t="s">
        <v>73</v>
      </c>
      <c r="L33" s="18"/>
      <c r="M33" s="125"/>
      <c r="O33" s="104"/>
      <c r="P33" s="127" t="s">
        <v>88</v>
      </c>
      <c r="Q33" s="165">
        <f>(IF(INT_RQD?="y",0.5,0))</f>
        <v>0</v>
      </c>
      <c r="R33" s="1"/>
      <c r="S33" s="110"/>
      <c r="T33" s="80" t="s">
        <v>70</v>
      </c>
      <c r="U33" s="162">
        <f>TOTAL_ACTIVE_PIXELS+H_BLANK</f>
        <v>1240</v>
      </c>
      <c r="W33" s="110">
        <f>W29+1</f>
        <v>14</v>
      </c>
      <c r="X33" s="18" t="s">
        <v>89</v>
      </c>
      <c r="Y33" s="156"/>
      <c r="AA33" s="2"/>
      <c r="AE33" s="1"/>
      <c r="BE33" s="18"/>
      <c r="BF33" s="80"/>
    </row>
    <row r="34" ht="24.95" hidden="1" customHeight="1" spans="1:58">
      <c r="A34" s="23"/>
      <c r="B34" s="24" t="s">
        <v>90</v>
      </c>
      <c r="C34" s="19"/>
      <c r="D34" s="18"/>
      <c r="E34" s="19"/>
      <c r="F34" s="25">
        <f>CELL_GRAN_RND*1000/ACT_PIXEL_FREQ</f>
        <v>1.70180612684242</v>
      </c>
      <c r="G34" s="18" t="s">
        <v>91</v>
      </c>
      <c r="H34" s="56"/>
      <c r="I34" s="18"/>
      <c r="J34" s="69">
        <f>CELL_GRAN_RND</f>
        <v>1</v>
      </c>
      <c r="K34" s="18" t="s">
        <v>73</v>
      </c>
      <c r="L34" s="18"/>
      <c r="M34" s="125"/>
      <c r="O34" s="128"/>
      <c r="P34" s="129"/>
      <c r="Q34" s="166"/>
      <c r="R34" s="1"/>
      <c r="S34" s="110"/>
      <c r="T34" s="18"/>
      <c r="U34" s="156"/>
      <c r="W34" s="110"/>
      <c r="X34" s="80" t="s">
        <v>92</v>
      </c>
      <c r="Y34" s="156">
        <f>1000*ACT_PIXEL_FREQ/TOTAL_PIXELS</f>
        <v>473.879838709677</v>
      </c>
      <c r="AA34" s="2"/>
      <c r="AE34" s="1"/>
      <c r="BE34" s="18"/>
      <c r="BF34" s="80"/>
    </row>
    <row r="35" ht="24.95" hidden="1" customHeight="1" spans="1:58">
      <c r="A35" s="23"/>
      <c r="B35" s="24" t="s">
        <v>93</v>
      </c>
      <c r="C35" s="19"/>
      <c r="D35" s="18"/>
      <c r="E35" s="19"/>
      <c r="F35" s="25" t="str">
        <f>(IF(INT_RQD?="y","INTERLACED","NON-INT"))</f>
        <v>NON-INT</v>
      </c>
      <c r="G35" s="28"/>
      <c r="H35" s="56"/>
      <c r="I35" s="130"/>
      <c r="J35" s="124"/>
      <c r="K35" s="130"/>
      <c r="L35" s="18"/>
      <c r="M35" s="125"/>
      <c r="O35" s="131" t="s">
        <v>94</v>
      </c>
      <c r="P35" s="95"/>
      <c r="Q35" s="154"/>
      <c r="R35" s="1"/>
      <c r="S35" s="167">
        <f>S32+1</f>
        <v>15</v>
      </c>
      <c r="T35" s="164" t="s">
        <v>76</v>
      </c>
      <c r="U35" s="161"/>
      <c r="W35" s="110"/>
      <c r="X35" s="18"/>
      <c r="Y35" s="161"/>
      <c r="AA35" s="2"/>
      <c r="AE35" s="1"/>
      <c r="BE35" s="18"/>
      <c r="BF35" s="80"/>
    </row>
    <row r="36" ht="24.95" hidden="1" customHeight="1" spans="1:58">
      <c r="A36" s="23"/>
      <c r="B36" s="24" t="s">
        <v>95</v>
      </c>
      <c r="C36" s="19"/>
      <c r="D36" s="18"/>
      <c r="E36" s="19"/>
      <c r="F36" s="58" t="str">
        <f>IF(F29=CELL_GRAN_RND*INT((F30*4/3)/CELL_GRAN_RND),"4:3","")&amp;IF(F29=CELL_GRAN_RND*INT((F30*16/9)/CELL_GRAN_RND),"16:9","")&amp;IF(F29=CELL_GRAN_RND*INT((F30*16/10)/CELL_GRAN_RND),"16:10","")&amp;IF(F29=CELL_GRAN_RND*INT((F30*5/4)/CELL_GRAN_RND),"5:4","")&amp;IF(F29=CELL_GRAN_RND*INT((F30*15/9)/CELL_GRAN_RND),"15:9","")</f>
        <v/>
      </c>
      <c r="G36" s="59"/>
      <c r="H36" s="55" t="str">
        <f>IF(ASPECT_RATIO="","WARNING! - Not Standard Aspect Ratio","")</f>
        <v>WARNING! - Not Standard Aspect Ratio</v>
      </c>
      <c r="I36" s="132"/>
      <c r="J36" s="124"/>
      <c r="K36" s="132"/>
      <c r="L36" s="18"/>
      <c r="M36" s="125"/>
      <c r="O36" s="133"/>
      <c r="P36" s="28"/>
      <c r="Q36" s="161"/>
      <c r="R36" s="1"/>
      <c r="S36" s="110"/>
      <c r="T36" s="164" t="str">
        <f>"Rounded down to "&amp;CLOCK_STEP&amp;"MHz ="</f>
        <v>Rounded down to 0.001MHz =</v>
      </c>
      <c r="U36" s="161">
        <f>CLOCK_STEP*ROUNDDOWN((TOTAL_PIXELS/H_PERIOD_EST)/CLOCK_STEP,0)</f>
        <v>587.61</v>
      </c>
      <c r="V36" s="80"/>
      <c r="W36" s="110">
        <f>W33+1</f>
        <v>15</v>
      </c>
      <c r="X36" s="164" t="s">
        <v>96</v>
      </c>
      <c r="Y36" s="161"/>
      <c r="AA36" s="2"/>
      <c r="AE36" s="1"/>
      <c r="BE36" s="18"/>
      <c r="BF36" s="80"/>
    </row>
    <row r="37" ht="24.95" hidden="1" customHeight="1" spans="1:58">
      <c r="A37" s="23"/>
      <c r="B37" s="24" t="s">
        <v>97</v>
      </c>
      <c r="C37" s="19"/>
      <c r="D37" s="18"/>
      <c r="E37" s="19"/>
      <c r="F37" s="58" t="str">
        <f>IF(RED_BLANK_RQD?="y","POSITIVE","NEGATIVE")</f>
        <v>POSITIVE</v>
      </c>
      <c r="G37" s="59"/>
      <c r="H37" s="55"/>
      <c r="I37" s="132"/>
      <c r="J37" s="124"/>
      <c r="K37" s="132"/>
      <c r="L37" s="18"/>
      <c r="M37" s="125"/>
      <c r="O37" s="133" t="s">
        <v>98</v>
      </c>
      <c r="P37" s="28"/>
      <c r="Q37" s="161"/>
      <c r="R37" s="1"/>
      <c r="S37" s="110"/>
      <c r="T37" s="164" t="s">
        <v>83</v>
      </c>
      <c r="U37" s="168">
        <f>TOTAL_PIXELS/H_PERIOD_EST</f>
        <v>587.610037021802</v>
      </c>
      <c r="V37" s="80"/>
      <c r="W37" s="110"/>
      <c r="X37" s="80" t="s">
        <v>99</v>
      </c>
      <c r="Y37" s="156">
        <f>1000*ACT_H_FREQ/TOTAL_V_LINES</f>
        <v>59.9999795783334</v>
      </c>
      <c r="AA37" s="2"/>
      <c r="AE37" s="1"/>
      <c r="BE37" s="18"/>
      <c r="BF37" s="80"/>
    </row>
    <row r="38" ht="24.95" hidden="1" customHeight="1" spans="1:58">
      <c r="A38" s="23"/>
      <c r="B38" s="24" t="s">
        <v>100</v>
      </c>
      <c r="C38" s="19"/>
      <c r="D38" s="18"/>
      <c r="E38" s="19"/>
      <c r="F38" s="58" t="str">
        <f>IF(RED_BLANK_RQD?="y","NEGATIVE","POSITIVE")</f>
        <v>NEGATIVE</v>
      </c>
      <c r="G38" s="59"/>
      <c r="H38" s="55"/>
      <c r="I38" s="132"/>
      <c r="J38" s="124"/>
      <c r="K38" s="132"/>
      <c r="L38" s="18"/>
      <c r="M38" s="125"/>
      <c r="O38" s="133"/>
      <c r="P38" s="28" t="s">
        <v>101</v>
      </c>
      <c r="Q38" s="168">
        <f>IF(RED_BLANK_RQD?="Y",Y13,U13)</f>
        <v>2.11024305555556</v>
      </c>
      <c r="R38" s="1"/>
      <c r="S38" s="110"/>
      <c r="T38" s="18"/>
      <c r="U38" s="161"/>
      <c r="V38" s="80"/>
      <c r="W38" s="110"/>
      <c r="X38" s="18"/>
      <c r="Y38" s="161"/>
      <c r="AE38" s="1"/>
      <c r="BE38" s="18"/>
      <c r="BF38" s="80"/>
    </row>
    <row r="39" ht="24.95" hidden="1" customHeight="1" spans="1:58">
      <c r="A39" s="23"/>
      <c r="B39" s="60"/>
      <c r="C39" s="61"/>
      <c r="D39" s="62"/>
      <c r="E39" s="61"/>
      <c r="F39" s="63"/>
      <c r="G39" s="64"/>
      <c r="H39" s="65"/>
      <c r="I39" s="62"/>
      <c r="J39" s="65"/>
      <c r="K39" s="62"/>
      <c r="L39" s="62"/>
      <c r="M39" s="134"/>
      <c r="O39" s="133"/>
      <c r="P39" s="28"/>
      <c r="Q39" s="161"/>
      <c r="R39" s="1"/>
      <c r="S39" s="110">
        <f>S35+1</f>
        <v>16</v>
      </c>
      <c r="T39" s="18" t="s">
        <v>89</v>
      </c>
      <c r="U39" s="156"/>
      <c r="V39" s="80"/>
      <c r="W39" s="110">
        <f>W36+1</f>
        <v>16</v>
      </c>
      <c r="X39" s="80" t="s">
        <v>102</v>
      </c>
      <c r="Y39" s="156"/>
      <c r="AE39" s="1"/>
      <c r="BE39" s="18"/>
      <c r="BF39" s="80"/>
    </row>
    <row r="40" ht="24.95" hidden="1" customHeight="1" spans="1:58">
      <c r="A40" s="66"/>
      <c r="B40" s="67"/>
      <c r="C40" s="19"/>
      <c r="D40" s="18"/>
      <c r="E40" s="19"/>
      <c r="F40" s="25"/>
      <c r="G40" s="28"/>
      <c r="H40" s="56"/>
      <c r="I40" s="18"/>
      <c r="J40" s="124"/>
      <c r="K40" s="18"/>
      <c r="L40" s="18"/>
      <c r="M40" s="125"/>
      <c r="O40" s="133" t="s">
        <v>103</v>
      </c>
      <c r="P40" s="28"/>
      <c r="Q40" s="161"/>
      <c r="R40" s="1"/>
      <c r="S40" s="110"/>
      <c r="T40" s="80" t="s">
        <v>92</v>
      </c>
      <c r="U40" s="156">
        <f>1000*ACT_PIXEL_FREQ/TOTAL_PIXELS</f>
        <v>473.879838709677</v>
      </c>
      <c r="W40" s="110"/>
      <c r="X40" s="80" t="s">
        <v>104</v>
      </c>
      <c r="Y40" s="156">
        <f>(IF(INT_RQD?="y",ACT_FIELD_RATE/2,ACT_FIELD_RATE))</f>
        <v>59.9999795783334</v>
      </c>
      <c r="AE40" s="1"/>
      <c r="BE40" s="18"/>
      <c r="BF40" s="80"/>
    </row>
    <row r="41" ht="24.95" hidden="1" customHeight="1" spans="1:58">
      <c r="A41" s="23"/>
      <c r="B41" s="24" t="s">
        <v>105</v>
      </c>
      <c r="C41" s="19"/>
      <c r="D41" s="18"/>
      <c r="E41" s="19"/>
      <c r="F41" s="25">
        <f>TOTAL_PIXELS/ACT_PIXEL_FREQ</f>
        <v>2.1102395972846</v>
      </c>
      <c r="G41" s="68" t="s">
        <v>106</v>
      </c>
      <c r="H41" s="69">
        <f>TOTAL_PIXELS/CELL_GRAN_RND</f>
        <v>1240</v>
      </c>
      <c r="I41" s="18" t="s">
        <v>107</v>
      </c>
      <c r="J41" s="57">
        <f>TOTAL_PIXELS</f>
        <v>1240</v>
      </c>
      <c r="K41" s="80" t="s">
        <v>73</v>
      </c>
      <c r="L41" s="135"/>
      <c r="M41" s="125"/>
      <c r="O41" s="133"/>
      <c r="P41" s="28" t="s">
        <v>108</v>
      </c>
      <c r="Q41" s="168">
        <f>IF(RED_BLANK_RQD?="y",Y34,U40)</f>
        <v>473.879838709677</v>
      </c>
      <c r="R41" s="1"/>
      <c r="S41" s="110"/>
      <c r="T41" s="18"/>
      <c r="U41" s="161"/>
      <c r="W41" s="104"/>
      <c r="X41" s="158"/>
      <c r="Y41" s="170"/>
      <c r="AE41" s="1"/>
      <c r="BE41" s="18"/>
      <c r="BF41" s="80"/>
    </row>
    <row r="42" ht="24.95" hidden="1" customHeight="1" spans="1:58">
      <c r="A42" s="23"/>
      <c r="B42" s="24" t="s">
        <v>109</v>
      </c>
      <c r="C42" s="19"/>
      <c r="D42" s="18"/>
      <c r="E42" s="19"/>
      <c r="F42" s="25">
        <f>H_PIXELS_RND/ACT_PIXEL_FREQ</f>
        <v>1.83795061698981</v>
      </c>
      <c r="G42" s="68" t="s">
        <v>106</v>
      </c>
      <c r="H42" s="69">
        <f>H_PIXELS_RND/CELL_GRAN_RND</f>
        <v>1080</v>
      </c>
      <c r="I42" s="18" t="s">
        <v>107</v>
      </c>
      <c r="J42" s="57">
        <f>H_PIXELS_RND</f>
        <v>1080</v>
      </c>
      <c r="K42" s="80" t="s">
        <v>73</v>
      </c>
      <c r="L42" s="135"/>
      <c r="M42" s="125"/>
      <c r="O42" s="133" t="s">
        <v>110</v>
      </c>
      <c r="P42" s="28"/>
      <c r="Q42" s="168"/>
      <c r="R42" s="1"/>
      <c r="S42" s="110">
        <f>S39+1</f>
        <v>17</v>
      </c>
      <c r="T42" s="164" t="s">
        <v>96</v>
      </c>
      <c r="U42" s="161"/>
      <c r="AE42" s="1"/>
      <c r="BE42" s="18"/>
      <c r="BF42" s="80"/>
    </row>
    <row r="43" ht="24.95" hidden="1" customHeight="1" spans="1:58">
      <c r="A43" s="70"/>
      <c r="B43" s="71"/>
      <c r="C43" s="61"/>
      <c r="D43" s="62"/>
      <c r="E43" s="61"/>
      <c r="F43" s="63"/>
      <c r="G43" s="72"/>
      <c r="H43" s="73"/>
      <c r="I43" s="62"/>
      <c r="J43" s="81"/>
      <c r="K43" s="136"/>
      <c r="L43" s="137"/>
      <c r="M43" s="134"/>
      <c r="O43" s="133"/>
      <c r="P43" s="28" t="s">
        <v>111</v>
      </c>
      <c r="Q43" s="168">
        <f>IF(RED_BLANK_RQD?="y",Y37,U43)</f>
        <v>59.9999795783334</v>
      </c>
      <c r="R43" s="1"/>
      <c r="S43" s="110"/>
      <c r="T43" s="80" t="s">
        <v>99</v>
      </c>
      <c r="U43" s="156">
        <f>1000*ACT_H_FREQ/TOTAL_V_LINES</f>
        <v>59.9999795783334</v>
      </c>
      <c r="AE43" s="1"/>
      <c r="BE43" s="18"/>
      <c r="BF43" s="80"/>
    </row>
    <row r="44" ht="24.95" hidden="1" customHeight="1" spans="1:58">
      <c r="A44" s="66"/>
      <c r="B44" s="74"/>
      <c r="C44" s="75"/>
      <c r="D44" s="76"/>
      <c r="E44" s="75"/>
      <c r="F44" s="77"/>
      <c r="G44" s="78"/>
      <c r="H44" s="79"/>
      <c r="I44" s="76"/>
      <c r="J44" s="138"/>
      <c r="K44" s="139"/>
      <c r="L44" s="140"/>
      <c r="M44" s="141"/>
      <c r="O44" s="133"/>
      <c r="P44" s="28" t="s">
        <v>112</v>
      </c>
      <c r="Q44" s="168">
        <f>IF(RED_BLANK_RQD?="y",Y40,U46)</f>
        <v>59.9999795783334</v>
      </c>
      <c r="R44" s="1"/>
      <c r="S44" s="110"/>
      <c r="T44" s="18"/>
      <c r="U44" s="161"/>
      <c r="AD44" s="80"/>
      <c r="AE44" s="1"/>
      <c r="BE44" s="18"/>
      <c r="BF44" s="80"/>
    </row>
    <row r="45" ht="24.95" hidden="1" customHeight="1" spans="1:58">
      <c r="A45" s="23"/>
      <c r="B45" s="24" t="s">
        <v>113</v>
      </c>
      <c r="C45" s="19"/>
      <c r="D45" s="18"/>
      <c r="E45" s="19"/>
      <c r="F45" s="25">
        <f>H_BLANK/ACT_PIXEL_FREQ</f>
        <v>0.272288980294787</v>
      </c>
      <c r="G45" s="68" t="s">
        <v>106</v>
      </c>
      <c r="H45" s="69">
        <f>H_BLANK/CELL_GRAN_RND</f>
        <v>160</v>
      </c>
      <c r="I45" s="18" t="s">
        <v>107</v>
      </c>
      <c r="J45" s="57">
        <f>H_BLANK</f>
        <v>160</v>
      </c>
      <c r="K45" s="80" t="s">
        <v>73</v>
      </c>
      <c r="L45" s="135"/>
      <c r="M45" s="125"/>
      <c r="O45" s="133" t="s">
        <v>114</v>
      </c>
      <c r="P45" s="28"/>
      <c r="Q45" s="168"/>
      <c r="R45" s="1"/>
      <c r="S45" s="110">
        <f>S42+1</f>
        <v>18</v>
      </c>
      <c r="T45" s="80" t="s">
        <v>102</v>
      </c>
      <c r="U45" s="156"/>
      <c r="AD45" s="80"/>
      <c r="AE45" s="1"/>
      <c r="BE45" s="18"/>
      <c r="BF45" s="80"/>
    </row>
    <row r="46" ht="24.95" hidden="1" customHeight="1" spans="1:58">
      <c r="A46" s="23"/>
      <c r="B46" s="24" t="s">
        <v>115</v>
      </c>
      <c r="C46" s="19"/>
      <c r="D46" s="18"/>
      <c r="E46" s="19"/>
      <c r="F46" s="25">
        <f>(H_BLANK+LEFT_MARGIN+RIGHT_MARGIN)/ACT_PIXEL_FREQ</f>
        <v>0.272288980294787</v>
      </c>
      <c r="G46" s="68" t="s">
        <v>106</v>
      </c>
      <c r="H46" s="69">
        <f>(H_BLANK+LEFT_MARGIN+RIGHT_MARGIN)/CELL_GRAN_RND</f>
        <v>160</v>
      </c>
      <c r="I46" s="18" t="s">
        <v>107</v>
      </c>
      <c r="J46" s="57">
        <f>H_BLANK+LEFT_MARGIN+RIGHT_MARGIN</f>
        <v>160</v>
      </c>
      <c r="K46" s="80" t="s">
        <v>73</v>
      </c>
      <c r="L46" s="135"/>
      <c r="M46" s="125"/>
      <c r="O46" s="133"/>
      <c r="P46" s="28" t="s">
        <v>116</v>
      </c>
      <c r="Q46" s="168">
        <f>IF(RED_BLANK_RQD?="y",Y30,U36)</f>
        <v>587.611</v>
      </c>
      <c r="R46" s="1"/>
      <c r="S46" s="110"/>
      <c r="T46" s="80" t="s">
        <v>104</v>
      </c>
      <c r="U46" s="156">
        <f>(IF(INT_RQD?="y",ACT_FIELD_RATE/2,ACT_FIELD_RATE))</f>
        <v>59.9999795783334</v>
      </c>
      <c r="X46" s="26"/>
      <c r="AE46" s="1"/>
      <c r="BE46" s="18"/>
      <c r="BF46" s="80"/>
    </row>
    <row r="47" ht="24.75" hidden="1" customHeight="1" spans="1:58">
      <c r="A47" s="23"/>
      <c r="B47" s="24" t="s">
        <v>117</v>
      </c>
      <c r="C47" s="19"/>
      <c r="D47" s="18"/>
      <c r="E47" s="19"/>
      <c r="F47" s="25">
        <f>IDEAL_DUTY_CYCLE</f>
        <v>29.3669270833333</v>
      </c>
      <c r="G47" s="68" t="s">
        <v>118</v>
      </c>
      <c r="H47" s="57"/>
      <c r="I47" s="80"/>
      <c r="J47" s="124"/>
      <c r="K47" s="18"/>
      <c r="L47" s="18"/>
      <c r="M47" s="125"/>
      <c r="O47" s="110"/>
      <c r="P47" s="28"/>
      <c r="Q47" s="169"/>
      <c r="R47" s="1"/>
      <c r="S47" s="104"/>
      <c r="T47" s="158"/>
      <c r="U47" s="170"/>
      <c r="AE47" s="1"/>
      <c r="AP47" s="18"/>
      <c r="BE47" s="18"/>
      <c r="BF47" s="80"/>
    </row>
    <row r="48" ht="24.95" hidden="1" customHeight="1" spans="1:58">
      <c r="A48" s="23"/>
      <c r="B48" s="24"/>
      <c r="C48" s="26" t="s">
        <v>119</v>
      </c>
      <c r="D48" s="80"/>
      <c r="E48" s="26"/>
      <c r="F48" s="25"/>
      <c r="G48" s="68"/>
      <c r="H48" s="57"/>
      <c r="I48" s="80"/>
      <c r="J48" s="124"/>
      <c r="K48" s="80"/>
      <c r="L48" s="18"/>
      <c r="M48" s="125"/>
      <c r="O48" s="133" t="s">
        <v>120</v>
      </c>
      <c r="P48" s="28"/>
      <c r="Q48" s="169"/>
      <c r="R48" s="1"/>
      <c r="S48" s="3"/>
      <c r="AE48" s="1"/>
      <c r="AP48" s="18"/>
      <c r="BE48" s="18"/>
      <c r="BF48" s="80"/>
    </row>
    <row r="49" ht="24.95" hidden="1" customHeight="1" spans="1:58">
      <c r="A49" s="23"/>
      <c r="B49" s="24" t="s">
        <v>121</v>
      </c>
      <c r="C49" s="19"/>
      <c r="D49" s="18"/>
      <c r="E49" s="19"/>
      <c r="F49" s="25">
        <f>H_BLANK/TOTAL_PIXELS*100</f>
        <v>12.9032258064516</v>
      </c>
      <c r="G49" s="68" t="s">
        <v>118</v>
      </c>
      <c r="H49" s="57"/>
      <c r="I49" s="80"/>
      <c r="J49" s="124"/>
      <c r="K49" s="18"/>
      <c r="L49" s="18"/>
      <c r="M49" s="125"/>
      <c r="O49" s="133"/>
      <c r="P49" s="28" t="s">
        <v>122</v>
      </c>
      <c r="Q49" s="169">
        <f>IF(RED_BLANK_RQD?="Y",Y27,U33)</f>
        <v>1240</v>
      </c>
      <c r="R49" s="1"/>
      <c r="S49" s="3"/>
      <c r="V49" s="80"/>
      <c r="AE49" s="1"/>
      <c r="AP49" s="18"/>
      <c r="BE49" s="18"/>
      <c r="BF49" s="80"/>
    </row>
    <row r="50" ht="24.95" hidden="1" customHeight="1" spans="1:58">
      <c r="A50" s="23"/>
      <c r="B50" s="24" t="s">
        <v>123</v>
      </c>
      <c r="C50" s="19"/>
      <c r="D50" s="18"/>
      <c r="E50" s="19"/>
      <c r="F50" s="25">
        <f>(H_BLANK+LEFT_MARGIN+RIGHT_MARGIN)/TOTAL_PIXELS*100</f>
        <v>12.9032258064516</v>
      </c>
      <c r="G50" s="68" t="s">
        <v>118</v>
      </c>
      <c r="H50" s="57"/>
      <c r="I50" s="80"/>
      <c r="J50" s="124"/>
      <c r="K50" s="18"/>
      <c r="L50" s="18"/>
      <c r="M50" s="125"/>
      <c r="O50" s="133" t="s">
        <v>124</v>
      </c>
      <c r="P50" s="28"/>
      <c r="Q50" s="169"/>
      <c r="R50" s="1"/>
      <c r="S50" s="3"/>
      <c r="V50" s="80"/>
      <c r="AE50" s="1"/>
      <c r="AP50" s="18"/>
      <c r="BE50" s="18"/>
      <c r="BF50" s="80"/>
    </row>
    <row r="51" ht="24.95" hidden="1" customHeight="1" spans="1:58">
      <c r="A51" s="23"/>
      <c r="B51" s="24" t="s">
        <v>125</v>
      </c>
      <c r="C51" s="19"/>
      <c r="D51" s="18"/>
      <c r="E51" s="19"/>
      <c r="F51" s="25">
        <f>LEFT_MARGIN/ACT_PIXEL_FREQ</f>
        <v>0</v>
      </c>
      <c r="G51" s="68" t="s">
        <v>106</v>
      </c>
      <c r="H51" s="69">
        <f>LEFT_MARGIN/CELL_GRAN_RND</f>
        <v>0</v>
      </c>
      <c r="I51" s="18" t="s">
        <v>107</v>
      </c>
      <c r="J51" s="57">
        <f>LEFT_MARGIN</f>
        <v>0</v>
      </c>
      <c r="K51" s="80" t="s">
        <v>73</v>
      </c>
      <c r="L51" s="80"/>
      <c r="M51" s="125"/>
      <c r="O51" s="133"/>
      <c r="P51" s="28" t="s">
        <v>126</v>
      </c>
      <c r="Q51" s="169">
        <f>IF(RED_BLANK_RQD?="Y",Y10,U30)</f>
        <v>160</v>
      </c>
      <c r="R51" s="1"/>
      <c r="S51" s="3"/>
      <c r="AE51" s="1"/>
      <c r="AP51" s="18"/>
      <c r="BE51" s="18"/>
      <c r="BF51" s="80"/>
    </row>
    <row r="52" ht="24.95" hidden="1" customHeight="1" spans="1:42">
      <c r="A52" s="23"/>
      <c r="B52" s="24" t="s">
        <v>127</v>
      </c>
      <c r="C52" s="19"/>
      <c r="D52" s="18"/>
      <c r="E52" s="19"/>
      <c r="F52" s="25">
        <f>H_FRONT_PORCH/ACT_PIXEL_FREQ</f>
        <v>0.0816866940884361</v>
      </c>
      <c r="G52" s="68" t="s">
        <v>106</v>
      </c>
      <c r="H52" s="69">
        <f>H_FRONT_PORCH/CELL_GRAN_RND</f>
        <v>48</v>
      </c>
      <c r="I52" s="18" t="s">
        <v>107</v>
      </c>
      <c r="J52" s="57">
        <f>H_FRONT_PORCH</f>
        <v>48</v>
      </c>
      <c r="K52" s="80" t="s">
        <v>73</v>
      </c>
      <c r="L52" s="80"/>
      <c r="M52" s="125"/>
      <c r="O52" s="133" t="s">
        <v>128</v>
      </c>
      <c r="P52" s="28"/>
      <c r="Q52" s="169"/>
      <c r="R52" s="1"/>
      <c r="S52" s="3"/>
      <c r="V52" s="80"/>
      <c r="AE52" s="1"/>
      <c r="AN52" s="18"/>
      <c r="AO52" s="18"/>
      <c r="AP52" s="18"/>
    </row>
    <row r="53" ht="24.95" hidden="1" customHeight="1" spans="1:42">
      <c r="A53" s="23"/>
      <c r="B53" s="24" t="s">
        <v>129</v>
      </c>
      <c r="C53" s="19"/>
      <c r="D53" s="18"/>
      <c r="E53" s="19"/>
      <c r="F53" s="25">
        <f>H_SYNC_RND/ACT_PIXEL_FREQ</f>
        <v>0.0544577960589574</v>
      </c>
      <c r="G53" s="68" t="s">
        <v>106</v>
      </c>
      <c r="H53" s="69">
        <f>H_SYNC_RND/CELL_GRAN_RND</f>
        <v>32</v>
      </c>
      <c r="I53" s="18" t="s">
        <v>107</v>
      </c>
      <c r="J53" s="57">
        <f>H_SYNC_RND</f>
        <v>32</v>
      </c>
      <c r="K53" s="80" t="s">
        <v>73</v>
      </c>
      <c r="L53" s="80"/>
      <c r="M53" s="125"/>
      <c r="O53" s="133"/>
      <c r="P53" s="28" t="s">
        <v>130</v>
      </c>
      <c r="Q53" s="169">
        <f>H_BLANK-H_BACK_PORCH-H_SYNC_RND</f>
        <v>48</v>
      </c>
      <c r="R53" s="1"/>
      <c r="S53" s="3"/>
      <c r="AE53" s="1"/>
      <c r="AN53" s="18"/>
      <c r="AO53" s="18"/>
      <c r="AP53" s="18"/>
    </row>
    <row r="54" ht="24.95" hidden="1" customHeight="1" spans="1:42">
      <c r="A54" s="23"/>
      <c r="B54" s="24" t="s">
        <v>131</v>
      </c>
      <c r="C54" s="19"/>
      <c r="D54" s="18"/>
      <c r="E54" s="19"/>
      <c r="F54" s="25">
        <f>H_BACK_PORCH/ACT_PIXEL_FREQ</f>
        <v>0.136144490147393</v>
      </c>
      <c r="G54" s="68" t="s">
        <v>106</v>
      </c>
      <c r="H54" s="69">
        <f>H_BACK_PORCH/CELL_GRAN_RND</f>
        <v>80</v>
      </c>
      <c r="I54" s="18" t="s">
        <v>107</v>
      </c>
      <c r="J54" s="57">
        <f>H_BACK_PORCH</f>
        <v>80</v>
      </c>
      <c r="K54" s="80" t="s">
        <v>73</v>
      </c>
      <c r="L54" s="80"/>
      <c r="M54" s="125"/>
      <c r="O54" s="133" t="s">
        <v>132</v>
      </c>
      <c r="P54" s="28"/>
      <c r="Q54" s="169"/>
      <c r="R54" s="1"/>
      <c r="S54" s="3"/>
      <c r="V54" s="80"/>
      <c r="AE54" s="1"/>
      <c r="AN54" s="18"/>
      <c r="AO54" s="18"/>
      <c r="AP54" s="18"/>
    </row>
    <row r="55" ht="24.95" hidden="1" customHeight="1" spans="1:42">
      <c r="A55" s="23"/>
      <c r="B55" s="24" t="s">
        <v>133</v>
      </c>
      <c r="C55" s="19"/>
      <c r="D55" s="18"/>
      <c r="E55" s="19"/>
      <c r="F55" s="25">
        <f>RIGHT_MARGIN/ACT_PIXEL_FREQ</f>
        <v>0</v>
      </c>
      <c r="G55" s="68" t="s">
        <v>106</v>
      </c>
      <c r="H55" s="69">
        <f>RIGHT_MARGIN/CELL_GRAN_RND</f>
        <v>0</v>
      </c>
      <c r="I55" s="18" t="s">
        <v>107</v>
      </c>
      <c r="J55" s="57">
        <f>RIGHT_MARGIN</f>
        <v>0</v>
      </c>
      <c r="K55" s="80" t="s">
        <v>73</v>
      </c>
      <c r="L55" s="80"/>
      <c r="M55" s="125"/>
      <c r="O55" s="133"/>
      <c r="P55" s="28" t="s">
        <v>134</v>
      </c>
      <c r="Q55" s="169">
        <f>IF(RED_BLANK_RQD?="Y",Y9,(ROUNDDOWN((H_SYNC_PER/100*TOTAL_PIXELS/CELL_GRAN_RND),0))*CELL_GRAN_RND)</f>
        <v>32</v>
      </c>
      <c r="R55" s="1"/>
      <c r="S55" s="3"/>
      <c r="V55" s="80"/>
      <c r="AE55" s="1"/>
      <c r="AN55" s="18"/>
      <c r="AO55" s="18"/>
      <c r="AP55" s="18"/>
    </row>
    <row r="56" ht="24.95" hidden="1" customHeight="1" spans="1:42">
      <c r="A56" s="70"/>
      <c r="B56" s="71"/>
      <c r="C56" s="61"/>
      <c r="D56" s="62"/>
      <c r="E56" s="61"/>
      <c r="F56" s="63"/>
      <c r="G56" s="72"/>
      <c r="H56" s="81"/>
      <c r="I56" s="136"/>
      <c r="J56" s="142"/>
      <c r="K56" s="62"/>
      <c r="L56" s="62"/>
      <c r="M56" s="134"/>
      <c r="O56" s="133" t="s">
        <v>135</v>
      </c>
      <c r="P56" s="28"/>
      <c r="Q56" s="169"/>
      <c r="R56" s="1"/>
      <c r="S56" s="3"/>
      <c r="V56" s="80"/>
      <c r="AE56" s="1"/>
      <c r="AN56" s="18"/>
      <c r="AO56" s="18"/>
      <c r="AP56" s="18"/>
    </row>
    <row r="57" ht="24.95" hidden="1" customHeight="1" spans="1:42">
      <c r="A57" s="23"/>
      <c r="B57" s="24"/>
      <c r="C57" s="19"/>
      <c r="D57" s="18"/>
      <c r="E57" s="19"/>
      <c r="F57" s="25" t="str">
        <f>(IF(INT_RQD?="y","PER FRAME",""))</f>
        <v/>
      </c>
      <c r="G57" s="82"/>
      <c r="H57" s="83" t="str">
        <f>(IF(INT_RQD?="y","PER FIELD",""))</f>
        <v/>
      </c>
      <c r="I57" s="82"/>
      <c r="J57" s="143" t="str">
        <f>(IF(INT_RQD?="y","PER FRAME",""))</f>
        <v/>
      </c>
      <c r="K57" s="102"/>
      <c r="L57" s="144" t="str">
        <f>(IF(INT_RQD?="y","PER FIELD",""))</f>
        <v/>
      </c>
      <c r="M57" s="145"/>
      <c r="O57" s="133"/>
      <c r="P57" s="28" t="s">
        <v>136</v>
      </c>
      <c r="Q57" s="169">
        <f>H_BLANK/2</f>
        <v>80</v>
      </c>
      <c r="R57" s="1"/>
      <c r="S57" s="3"/>
      <c r="T57" s="18"/>
      <c r="U57" s="18"/>
      <c r="V57" s="80"/>
      <c r="AE57" s="1"/>
      <c r="AN57" s="18"/>
      <c r="AO57" s="18"/>
      <c r="AP57" s="18"/>
    </row>
    <row r="58" ht="24.95" hidden="1" customHeight="1" spans="1:42">
      <c r="A58" s="23"/>
      <c r="B58" s="24" t="s">
        <v>137</v>
      </c>
      <c r="C58" s="19"/>
      <c r="D58" s="18"/>
      <c r="E58" s="19"/>
      <c r="F58" s="25">
        <f>IF(INT_RQD?="y",2,1)*TOTAL_V_LINES/ACT_H_FREQ</f>
        <v>16.6666723393538</v>
      </c>
      <c r="G58" s="68" t="s">
        <v>138</v>
      </c>
      <c r="H58" s="84" t="str">
        <f>IF(INT_RQD?="y",TOTAL_V_LINES/ACT_H_FREQ,"")</f>
        <v/>
      </c>
      <c r="I58" s="68" t="str">
        <f>IF(INT_RQD?="y","ms","")</f>
        <v/>
      </c>
      <c r="J58" s="146">
        <f>IF(INT_RQD?="y",2,1)*TOTAL_V_LINES</f>
        <v>7898</v>
      </c>
      <c r="K58" s="147" t="s">
        <v>78</v>
      </c>
      <c r="L58" s="146" t="str">
        <f>IF(INT_RQD?="y",TOTAL_V_LINES,"")</f>
        <v/>
      </c>
      <c r="M58" s="106" t="str">
        <f>(IF(INT_RQD?="y","LINES",""))</f>
        <v/>
      </c>
      <c r="O58" s="110"/>
      <c r="P58" s="28"/>
      <c r="Q58" s="169"/>
      <c r="R58" s="1"/>
      <c r="S58" s="3"/>
      <c r="T58" s="18"/>
      <c r="U58" s="18"/>
      <c r="AE58" s="1"/>
      <c r="AN58" s="18"/>
      <c r="AO58" s="18"/>
      <c r="AP58" s="18"/>
    </row>
    <row r="59" ht="24.95" hidden="1" customHeight="1" spans="1:42">
      <c r="A59" s="23"/>
      <c r="B59" s="24" t="s">
        <v>139</v>
      </c>
      <c r="C59" s="19"/>
      <c r="D59" s="18"/>
      <c r="E59" s="19"/>
      <c r="F59" s="25">
        <f>IF(INT_RQD?="y",2,1)*V_LINES_RND/ACT_H_FREQ</f>
        <v>16.2066401071457</v>
      </c>
      <c r="G59" s="68" t="s">
        <v>138</v>
      </c>
      <c r="H59" s="84" t="str">
        <f>IF(INT_RQD?="y",V_LINES_RND/ACT_H_FREQ,"")</f>
        <v/>
      </c>
      <c r="I59" s="68" t="str">
        <f>IF(INT_RQD?="y","ms","")</f>
        <v/>
      </c>
      <c r="J59" s="146">
        <f>IF(INT_RQD?="y",2*V_LINES_RND,V_LINES_RND)</f>
        <v>7680</v>
      </c>
      <c r="K59" s="147" t="s">
        <v>78</v>
      </c>
      <c r="L59" s="146" t="str">
        <f>IF(INT_RQD?="y",V_LINES_RND,"")</f>
        <v/>
      </c>
      <c r="M59" s="106" t="str">
        <f>(IF(INT_RQD?="y","LINES",""))</f>
        <v/>
      </c>
      <c r="O59" s="133" t="s">
        <v>140</v>
      </c>
      <c r="P59" s="28"/>
      <c r="Q59" s="169"/>
      <c r="R59" s="1"/>
      <c r="S59" s="3"/>
      <c r="T59" s="18"/>
      <c r="U59" s="18"/>
      <c r="AE59" s="1"/>
      <c r="AN59" s="18"/>
      <c r="AO59" s="18"/>
      <c r="AP59" s="18"/>
    </row>
    <row r="60" ht="24.95" hidden="1" customHeight="1" spans="1:42">
      <c r="A60" s="70"/>
      <c r="B60" s="71"/>
      <c r="C60" s="61"/>
      <c r="D60" s="62"/>
      <c r="E60" s="61"/>
      <c r="F60" s="63"/>
      <c r="G60" s="72"/>
      <c r="H60" s="85"/>
      <c r="I60" s="72"/>
      <c r="J60" s="148"/>
      <c r="K60" s="149"/>
      <c r="L60" s="148"/>
      <c r="M60" s="150"/>
      <c r="O60" s="133"/>
      <c r="P60" s="28" t="s">
        <v>141</v>
      </c>
      <c r="Q60" s="171">
        <f>IF(RED_BLANK_RQD?="Y",Y24,U24)</f>
        <v>7898</v>
      </c>
      <c r="R60" s="1"/>
      <c r="S60" s="3"/>
      <c r="T60" s="18"/>
      <c r="U60" s="18"/>
      <c r="AE60" s="1"/>
      <c r="AN60" s="18"/>
      <c r="AO60" s="18"/>
      <c r="AP60" s="18"/>
    </row>
    <row r="61" ht="24.95" hidden="1" customHeight="1" spans="1:42">
      <c r="A61" s="66"/>
      <c r="B61" s="74"/>
      <c r="C61" s="75"/>
      <c r="D61" s="76"/>
      <c r="E61" s="75"/>
      <c r="F61" s="77" t="str">
        <f>(IF(INT_RQD?="y","ODD FIELD",""))</f>
        <v/>
      </c>
      <c r="G61" s="86"/>
      <c r="H61" s="87" t="str">
        <f>(IF(INT_RQD?="y","EVEN FIELD",""))</f>
        <v/>
      </c>
      <c r="I61" s="86"/>
      <c r="J61" s="151" t="str">
        <f>(IF(INT_RQD?="y","ODD FIELD",""))</f>
        <v/>
      </c>
      <c r="K61" s="152"/>
      <c r="L61" s="151" t="str">
        <f>(IF(INT_RQD?="y","EVEN FIELD",""))</f>
        <v/>
      </c>
      <c r="M61" s="153"/>
      <c r="O61" s="133" t="s">
        <v>142</v>
      </c>
      <c r="P61" s="28"/>
      <c r="Q61" s="171"/>
      <c r="R61" s="1"/>
      <c r="S61" s="3"/>
      <c r="T61" s="18"/>
      <c r="U61" s="18"/>
      <c r="V61" s="80"/>
      <c r="AE61" s="1"/>
      <c r="AN61" s="18"/>
      <c r="AO61" s="18"/>
      <c r="AP61" s="18"/>
    </row>
    <row r="62" ht="24.95" hidden="1" customHeight="1" spans="1:42">
      <c r="A62" s="23"/>
      <c r="B62" s="24" t="s">
        <v>143</v>
      </c>
      <c r="C62" s="19"/>
      <c r="D62" s="18"/>
      <c r="E62" s="19"/>
      <c r="F62" s="25">
        <f>V_BLANK/ACT_H_FREQ</f>
        <v>0.460032232208042</v>
      </c>
      <c r="G62" s="68" t="s">
        <v>138</v>
      </c>
      <c r="H62" s="88" t="str">
        <f>IF(INT_RQD?="y",(V_BLANK+(2*INTERLACE))/ACT_H_FREQ,"")</f>
        <v/>
      </c>
      <c r="I62" s="68" t="str">
        <f>(IF(INT_RQD?="y","ms",""))</f>
        <v/>
      </c>
      <c r="J62" s="146">
        <f>V_BLANK</f>
        <v>218</v>
      </c>
      <c r="K62" s="147" t="s">
        <v>78</v>
      </c>
      <c r="L62" s="146" t="str">
        <f>IF(INT_RQD?="y",V_BLANK+(2*INTERLACE),"")</f>
        <v/>
      </c>
      <c r="M62" s="106" t="str">
        <f t="shared" ref="M62:M67" si="0">(IF(INT_RQD?="y","LINES",""))</f>
        <v/>
      </c>
      <c r="O62" s="133"/>
      <c r="P62" s="28" t="s">
        <v>144</v>
      </c>
      <c r="Q62" s="169">
        <f>IF(RED_BLANK_RQD?="y",ACT_VBI_LINES,V_SYNC_BP+MIN_V_PORCH_RND)</f>
        <v>218</v>
      </c>
      <c r="R62" s="1"/>
      <c r="S62" s="3"/>
      <c r="T62" s="18"/>
      <c r="U62" s="18"/>
      <c r="V62" s="80"/>
      <c r="W62" s="157"/>
      <c r="AE62" s="1"/>
      <c r="AN62" s="18"/>
      <c r="AO62" s="18"/>
      <c r="AP62" s="18"/>
    </row>
    <row r="63" ht="24.95" hidden="1" customHeight="1" spans="1:42">
      <c r="A63" s="23"/>
      <c r="B63" s="24" t="s">
        <v>145</v>
      </c>
      <c r="C63" s="19"/>
      <c r="D63" s="18"/>
      <c r="E63" s="19"/>
      <c r="F63" s="25">
        <f>1000*TOP_MARGIN/ACT_H_FREQ</f>
        <v>0</v>
      </c>
      <c r="G63" s="68" t="s">
        <v>106</v>
      </c>
      <c r="H63" s="84" t="str">
        <f>(IF(INT_RQD?="y",1000*TOP_MARGIN/ACT_H_FREQ,""))</f>
        <v/>
      </c>
      <c r="I63" s="68" t="str">
        <f>(IF(INT_RQD?="y","us",""))</f>
        <v/>
      </c>
      <c r="J63" s="146">
        <f>TOP_MARGIN</f>
        <v>0</v>
      </c>
      <c r="K63" s="147" t="s">
        <v>78</v>
      </c>
      <c r="L63" s="146" t="str">
        <f>(IF(INT_RQD?="y",TOP_MARGIN,""))</f>
        <v/>
      </c>
      <c r="M63" s="106" t="str">
        <f t="shared" si="0"/>
        <v/>
      </c>
      <c r="O63" s="133" t="s">
        <v>146</v>
      </c>
      <c r="P63" s="28"/>
      <c r="Q63" s="169"/>
      <c r="R63" s="1"/>
      <c r="S63" s="3"/>
      <c r="T63" s="18"/>
      <c r="U63" s="18"/>
      <c r="V63" s="80"/>
      <c r="W63" s="157"/>
      <c r="AE63" s="1"/>
      <c r="AN63" s="18"/>
      <c r="AO63" s="18"/>
      <c r="AP63" s="18"/>
    </row>
    <row r="64" ht="24.95" hidden="1" customHeight="1" spans="1:42">
      <c r="A64" s="23"/>
      <c r="B64" s="24" t="s">
        <v>147</v>
      </c>
      <c r="C64" s="19"/>
      <c r="D64" s="18"/>
      <c r="E64" s="19"/>
      <c r="F64" s="25">
        <f>1000*(V_FRONT_PORCH+INTERLACE)/ACT_H_FREQ</f>
        <v>48.5355107375458</v>
      </c>
      <c r="G64" s="68" t="s">
        <v>106</v>
      </c>
      <c r="H64" s="84" t="str">
        <f>IF(INT_RQD?="y",1000*V_FRONT_PORCH/ACT_H_FREQ,"")</f>
        <v/>
      </c>
      <c r="I64" s="68" t="str">
        <f>(IF(INT_RQD?="y","us",""))</f>
        <v/>
      </c>
      <c r="J64" s="146">
        <f>V_FRONT_PORCH+INTERLACE</f>
        <v>23</v>
      </c>
      <c r="K64" s="147" t="s">
        <v>78</v>
      </c>
      <c r="L64" s="146" t="str">
        <f>IF(INT_RQD?="y",V_FRONT_PORCH,"")</f>
        <v/>
      </c>
      <c r="M64" s="106" t="str">
        <f t="shared" si="0"/>
        <v/>
      </c>
      <c r="O64" s="133"/>
      <c r="P64" s="28" t="s">
        <v>148</v>
      </c>
      <c r="Q64" s="169">
        <f>IF(RED_BLANK_RQD?="y",RB_V_FPORCH,MIN_V_PORCH_RND)</f>
        <v>23</v>
      </c>
      <c r="R64" s="1"/>
      <c r="S64" s="3"/>
      <c r="T64" s="18"/>
      <c r="U64" s="18"/>
      <c r="V64" s="80"/>
      <c r="W64" s="157"/>
      <c r="AE64" s="1"/>
      <c r="AN64" s="18"/>
      <c r="AO64" s="18"/>
      <c r="AP64" s="18"/>
    </row>
    <row r="65" ht="24.95" hidden="1" customHeight="1" spans="1:42">
      <c r="A65" s="23"/>
      <c r="B65" s="24" t="s">
        <v>149</v>
      </c>
      <c r="C65" s="19"/>
      <c r="D65" s="18"/>
      <c r="E65" s="19"/>
      <c r="F65" s="25">
        <f>1000*V_SYNC_RND/ACT_H_FREQ</f>
        <v>21.102395972846</v>
      </c>
      <c r="G65" s="68" t="s">
        <v>106</v>
      </c>
      <c r="H65" s="88" t="str">
        <f>IF(INT_RQD?="y",1000*V_SYNC_RND/ACT_H_FREQ,"")</f>
        <v/>
      </c>
      <c r="I65" s="68" t="str">
        <f>(IF(INT_RQD?="y","us",""))</f>
        <v/>
      </c>
      <c r="J65" s="146">
        <f>V_SYNC_RND</f>
        <v>10</v>
      </c>
      <c r="K65" s="147" t="s">
        <v>78</v>
      </c>
      <c r="L65" s="146" t="str">
        <f>IF(INT_RQD?="y",V_SYNC_RND,"")</f>
        <v/>
      </c>
      <c r="M65" s="106" t="str">
        <f t="shared" si="0"/>
        <v/>
      </c>
      <c r="O65" s="133" t="s">
        <v>150</v>
      </c>
      <c r="P65" s="28"/>
      <c r="Q65" s="169"/>
      <c r="R65" s="1"/>
      <c r="S65" s="3"/>
      <c r="T65" s="18"/>
      <c r="U65" s="18"/>
      <c r="AE65" s="1"/>
      <c r="AN65" s="18"/>
      <c r="AO65" s="18"/>
      <c r="AP65" s="18"/>
    </row>
    <row r="66" ht="24.95" hidden="1" customHeight="1" spans="1:42">
      <c r="A66" s="23"/>
      <c r="B66" s="24" t="s">
        <v>151</v>
      </c>
      <c r="C66" s="19"/>
      <c r="D66" s="18"/>
      <c r="E66" s="19"/>
      <c r="F66" s="25">
        <f>1000*V_BACK_PORCH/ACT_H_FREQ</f>
        <v>390.394325497651</v>
      </c>
      <c r="G66" s="68" t="s">
        <v>106</v>
      </c>
      <c r="H66" s="84" t="str">
        <f>IF(INT_RQD?="y",1000*(V_BACK_PORCH+INTERLACE)/ACT_H_FREQ,"")</f>
        <v/>
      </c>
      <c r="I66" s="68" t="str">
        <f>(IF(INT_RQD?="y","us",""))</f>
        <v/>
      </c>
      <c r="J66" s="146">
        <f>V_BACK_PORCH</f>
        <v>185</v>
      </c>
      <c r="K66" s="147" t="s">
        <v>78</v>
      </c>
      <c r="L66" s="146" t="str">
        <f>IF(INT_RQD?="y",V_BACK_PORCH+INTERLACE,"")</f>
        <v/>
      </c>
      <c r="M66" s="106" t="str">
        <f t="shared" si="0"/>
        <v/>
      </c>
      <c r="O66" s="133"/>
      <c r="P66" s="28" t="s">
        <v>152</v>
      </c>
      <c r="Q66" s="169">
        <f>INT(V_SYNC)</f>
        <v>10</v>
      </c>
      <c r="R66" s="1"/>
      <c r="S66" s="3"/>
      <c r="V66" s="18"/>
      <c r="AE66" s="1"/>
      <c r="AN66" s="18"/>
      <c r="AO66" s="18"/>
      <c r="AP66" s="18"/>
    </row>
    <row r="67" ht="24.95" hidden="1" customHeight="1" spans="1:42">
      <c r="A67" s="23"/>
      <c r="B67" s="24" t="s">
        <v>153</v>
      </c>
      <c r="C67" s="19"/>
      <c r="D67" s="18"/>
      <c r="E67" s="19"/>
      <c r="F67" s="25">
        <f>1000*BOT_MARGIN/ACT_H_FREQ</f>
        <v>0</v>
      </c>
      <c r="G67" s="68" t="s">
        <v>106</v>
      </c>
      <c r="H67" s="84" t="str">
        <f>(IF(INT_RQD?="y",1000*BOT_MARGIN/ACT_H_FREQ,""))</f>
        <v/>
      </c>
      <c r="I67" s="68" t="str">
        <f>(IF(INT_RQD?="y","us",""))</f>
        <v/>
      </c>
      <c r="J67" s="146">
        <f>BOT_MARGIN</f>
        <v>0</v>
      </c>
      <c r="K67" s="147" t="s">
        <v>78</v>
      </c>
      <c r="L67" s="146" t="str">
        <f>(IF(INT_RQD?="y",BOT_MARGIN,""))</f>
        <v/>
      </c>
      <c r="M67" s="106" t="str">
        <f t="shared" si="0"/>
        <v/>
      </c>
      <c r="O67" s="133" t="s">
        <v>154</v>
      </c>
      <c r="P67" s="28"/>
      <c r="Q67" s="169"/>
      <c r="R67" s="1"/>
      <c r="S67" s="3"/>
      <c r="V67" s="18"/>
      <c r="AE67" s="1"/>
      <c r="AN67" s="18"/>
      <c r="AO67" s="18"/>
      <c r="AP67" s="18"/>
    </row>
    <row r="68" ht="24.95" hidden="1" customHeight="1" spans="1:42">
      <c r="A68" s="42"/>
      <c r="B68" s="116"/>
      <c r="C68" s="184" t="str">
        <f>IF(B39="","","NOTE: ANY RESULT IN RED PARENTHESIS INDICATES AN ERROR: SOLUTION NOT POSSIBLE WITH GIVEN INPUTS REQUIREMENTS")</f>
        <v/>
      </c>
      <c r="D68" s="45"/>
      <c r="E68" s="44"/>
      <c r="F68" s="185"/>
      <c r="G68" s="186"/>
      <c r="H68" s="45"/>
      <c r="I68" s="45"/>
      <c r="J68" s="44"/>
      <c r="K68" s="45"/>
      <c r="L68" s="45"/>
      <c r="M68" s="118"/>
      <c r="O68" s="133"/>
      <c r="P68" s="28" t="s">
        <v>155</v>
      </c>
      <c r="Q68" s="169">
        <f>V_BLANK-V_FRONT_PORCH-Q66</f>
        <v>185</v>
      </c>
      <c r="R68" s="1"/>
      <c r="S68" s="3"/>
      <c r="AE68" s="1"/>
      <c r="AN68" s="18"/>
      <c r="AO68" s="18"/>
      <c r="AP68" s="18"/>
    </row>
    <row r="69" ht="24.95" hidden="1" customHeight="1" spans="1:42">
      <c r="A69" s="187"/>
      <c r="B69" s="24"/>
      <c r="C69" s="188"/>
      <c r="D69" s="18"/>
      <c r="E69" s="19"/>
      <c r="F69" s="25"/>
      <c r="G69" s="28"/>
      <c r="H69" s="18"/>
      <c r="I69" s="18"/>
      <c r="J69" s="19"/>
      <c r="K69" s="18"/>
      <c r="L69" s="18"/>
      <c r="M69" s="18"/>
      <c r="O69" s="104"/>
      <c r="P69" s="195"/>
      <c r="Q69" s="170"/>
      <c r="R69" s="1"/>
      <c r="S69" s="3"/>
      <c r="AE69" s="1"/>
      <c r="AN69" s="18"/>
      <c r="AO69" s="18"/>
      <c r="AP69" s="18"/>
    </row>
    <row r="70" ht="24.95" hidden="1" customHeight="1" spans="1:42">
      <c r="A70" s="187"/>
      <c r="B70" s="24"/>
      <c r="C70" s="188"/>
      <c r="D70" s="18"/>
      <c r="E70" s="19"/>
      <c r="F70" s="25"/>
      <c r="G70" s="28"/>
      <c r="H70" s="18"/>
      <c r="I70" s="18"/>
      <c r="J70" s="19"/>
      <c r="K70" s="18"/>
      <c r="L70" s="18"/>
      <c r="M70" s="18"/>
      <c r="N70" s="18"/>
      <c r="R70" s="80"/>
      <c r="S70" s="3"/>
      <c r="AE70" s="1"/>
      <c r="AN70" s="18"/>
      <c r="AO70" s="18"/>
      <c r="AP70" s="18"/>
    </row>
    <row r="71" ht="24.95" hidden="1" customHeight="1" spans="1:42">
      <c r="A71" s="187"/>
      <c r="B71" s="24"/>
      <c r="C71" s="188"/>
      <c r="D71" s="18"/>
      <c r="E71" s="19"/>
      <c r="F71" s="25"/>
      <c r="G71" s="28"/>
      <c r="H71" s="18"/>
      <c r="I71" s="18"/>
      <c r="J71" s="19"/>
      <c r="K71" s="18"/>
      <c r="L71" s="18"/>
      <c r="M71" s="18"/>
      <c r="N71" s="80"/>
      <c r="R71" s="80"/>
      <c r="S71" s="3"/>
      <c r="V71" s="18"/>
      <c r="AE71" s="1"/>
      <c r="AN71" s="18"/>
      <c r="AO71" s="18"/>
      <c r="AP71" s="18"/>
    </row>
    <row r="72" ht="24.95" hidden="1" customHeight="1" spans="1:42">
      <c r="A72" s="189"/>
      <c r="B72" s="24"/>
      <c r="C72" s="188"/>
      <c r="D72" s="18"/>
      <c r="E72" s="19"/>
      <c r="F72" s="25"/>
      <c r="G72" s="28"/>
      <c r="H72" s="18"/>
      <c r="I72" s="18"/>
      <c r="J72" s="19"/>
      <c r="K72" s="18"/>
      <c r="L72" s="18"/>
      <c r="M72" s="18"/>
      <c r="N72" s="80"/>
      <c r="R72" s="80"/>
      <c r="S72" s="3"/>
      <c r="V72" s="18"/>
      <c r="AE72" s="1"/>
      <c r="AN72" s="18"/>
      <c r="AO72" s="18"/>
      <c r="AP72" s="18"/>
    </row>
    <row r="73" ht="24.95" hidden="1" customHeight="1" spans="1:42">
      <c r="A73" s="189"/>
      <c r="N73" s="80"/>
      <c r="R73" s="80"/>
      <c r="S73" s="3"/>
      <c r="V73" s="18"/>
      <c r="AE73" s="1"/>
      <c r="AN73" s="18"/>
      <c r="AO73" s="18"/>
      <c r="AP73" s="18"/>
    </row>
    <row r="74" ht="24.95" hidden="1" customHeight="1" spans="2:42">
      <c r="B74" s="190"/>
      <c r="C74" s="21"/>
      <c r="D74" s="22"/>
      <c r="E74" s="21"/>
      <c r="F74" s="46"/>
      <c r="G74" s="22"/>
      <c r="H74" s="22"/>
      <c r="I74" s="22"/>
      <c r="J74" s="21"/>
      <c r="K74" s="21"/>
      <c r="L74" s="22"/>
      <c r="M74" s="93"/>
      <c r="N74" s="80"/>
      <c r="R74" s="80"/>
      <c r="S74" s="3"/>
      <c r="V74" s="18"/>
      <c r="W74" s="157"/>
      <c r="X74" s="18"/>
      <c r="AE74" s="1"/>
      <c r="AN74" s="18"/>
      <c r="AO74" s="18"/>
      <c r="AP74" s="18"/>
    </row>
    <row r="75" ht="24.95" hidden="1" customHeight="1" spans="2:42">
      <c r="B75" s="191" t="s">
        <v>156</v>
      </c>
      <c r="C75" s="19"/>
      <c r="D75" s="102"/>
      <c r="E75" s="19"/>
      <c r="F75" s="47"/>
      <c r="G75" s="102"/>
      <c r="H75" s="102"/>
      <c r="I75" s="102"/>
      <c r="J75" s="102"/>
      <c r="K75" s="102"/>
      <c r="L75" s="102"/>
      <c r="M75" s="145"/>
      <c r="N75" s="80"/>
      <c r="R75" s="80"/>
      <c r="S75" s="3"/>
      <c r="V75" s="18"/>
      <c r="W75" s="157"/>
      <c r="X75" s="18"/>
      <c r="AE75" s="1"/>
      <c r="AN75" s="18"/>
      <c r="AO75" s="18"/>
      <c r="AP75" s="18"/>
    </row>
    <row r="76" ht="24.95" hidden="1" customHeight="1" spans="2:42">
      <c r="B76" s="191"/>
      <c r="C76" s="19"/>
      <c r="D76" s="18"/>
      <c r="E76" s="19"/>
      <c r="F76" s="47"/>
      <c r="G76" s="18"/>
      <c r="H76" s="18"/>
      <c r="I76" s="18"/>
      <c r="J76" s="19"/>
      <c r="K76" s="19"/>
      <c r="L76" s="18"/>
      <c r="M76" s="125"/>
      <c r="N76" s="80"/>
      <c r="R76" s="80"/>
      <c r="S76" s="3"/>
      <c r="V76" s="18"/>
      <c r="W76" s="157"/>
      <c r="X76" s="18"/>
      <c r="AE76" s="1"/>
      <c r="AN76" s="18"/>
      <c r="AO76" s="18"/>
      <c r="AP76" s="18"/>
    </row>
    <row r="77" ht="24.95" hidden="1" customHeight="1" spans="2:42">
      <c r="B77" s="191" t="s">
        <v>157</v>
      </c>
      <c r="C77" s="19"/>
      <c r="D77" s="18"/>
      <c r="E77" s="19"/>
      <c r="F77" s="47"/>
      <c r="G77" s="18"/>
      <c r="H77" s="18"/>
      <c r="I77" s="18"/>
      <c r="J77" s="19"/>
      <c r="K77" s="19"/>
      <c r="L77" s="18"/>
      <c r="M77" s="125"/>
      <c r="N77" s="80"/>
      <c r="R77" s="80"/>
      <c r="S77" s="3"/>
      <c r="V77" s="18"/>
      <c r="W77" s="157"/>
      <c r="X77" s="18"/>
      <c r="AE77" s="1"/>
      <c r="AN77" s="18"/>
      <c r="AO77" s="18"/>
      <c r="AP77" s="18"/>
    </row>
    <row r="78" ht="24.95" hidden="1" customHeight="1" spans="2:42">
      <c r="B78" s="192"/>
      <c r="J78" s="2"/>
      <c r="K78" s="196"/>
      <c r="L78" s="196"/>
      <c r="M78" s="125"/>
      <c r="N78" s="80"/>
      <c r="R78" s="80"/>
      <c r="S78" s="3"/>
      <c r="V78" s="18"/>
      <c r="W78" s="157"/>
      <c r="X78" s="18"/>
      <c r="AE78" s="1"/>
      <c r="AN78" s="18"/>
      <c r="AO78" s="18"/>
      <c r="AP78" s="18"/>
    </row>
    <row r="79" ht="24.95" hidden="1" customHeight="1" spans="2:42">
      <c r="B79" s="192"/>
      <c r="C79" s="47" t="s">
        <v>158</v>
      </c>
      <c r="D79" s="18"/>
      <c r="E79" s="19"/>
      <c r="F79" s="19"/>
      <c r="G79" s="18"/>
      <c r="H79" s="18"/>
      <c r="I79" s="18"/>
      <c r="J79" s="19"/>
      <c r="K79" s="196"/>
      <c r="L79" s="196"/>
      <c r="M79" s="125"/>
      <c r="N79" s="80"/>
      <c r="R79" s="80"/>
      <c r="S79" s="3"/>
      <c r="V79" s="18"/>
      <c r="W79" s="157"/>
      <c r="X79" s="18"/>
      <c r="AE79" s="1"/>
      <c r="AN79" s="18"/>
      <c r="AO79" s="18"/>
      <c r="AP79" s="18"/>
    </row>
    <row r="80" ht="24.95" hidden="1" customHeight="1" spans="2:42">
      <c r="B80" s="192"/>
      <c r="C80" s="19" t="s">
        <v>159</v>
      </c>
      <c r="D80" s="18"/>
      <c r="E80" s="19"/>
      <c r="F80" s="19"/>
      <c r="G80" s="18"/>
      <c r="H80" s="18"/>
      <c r="I80" s="18"/>
      <c r="J80" s="19"/>
      <c r="K80" s="19"/>
      <c r="L80" s="18"/>
      <c r="M80" s="125"/>
      <c r="N80" s="80"/>
      <c r="R80" s="80"/>
      <c r="S80" s="3"/>
      <c r="W80" s="157"/>
      <c r="X80" s="18"/>
      <c r="AE80" s="1"/>
      <c r="AN80" s="18"/>
      <c r="AO80" s="18"/>
      <c r="AP80" s="18"/>
    </row>
    <row r="81" ht="24.95" hidden="1" customHeight="1" spans="2:42">
      <c r="B81" s="192"/>
      <c r="C81" s="19"/>
      <c r="D81" s="18" t="s">
        <v>160</v>
      </c>
      <c r="E81" s="19"/>
      <c r="F81" s="19"/>
      <c r="G81" s="18"/>
      <c r="H81" s="18"/>
      <c r="I81" s="18"/>
      <c r="J81" s="19"/>
      <c r="K81" s="19"/>
      <c r="L81" s="18"/>
      <c r="M81" s="125"/>
      <c r="N81" s="80"/>
      <c r="R81" s="80"/>
      <c r="S81" s="3"/>
      <c r="W81" s="157"/>
      <c r="X81" s="18"/>
      <c r="AE81" s="1"/>
      <c r="AN81" s="18"/>
      <c r="AO81" s="18"/>
      <c r="AP81" s="18"/>
    </row>
    <row r="82" ht="24.95" hidden="1" customHeight="1" spans="2:42">
      <c r="B82" s="192"/>
      <c r="C82" s="19"/>
      <c r="D82" s="18" t="s">
        <v>161</v>
      </c>
      <c r="E82" s="19"/>
      <c r="F82" s="19"/>
      <c r="G82" s="18"/>
      <c r="H82" s="18"/>
      <c r="I82" s="18"/>
      <c r="J82" s="19"/>
      <c r="K82" s="19"/>
      <c r="L82" s="18"/>
      <c r="M82" s="125"/>
      <c r="N82" s="80"/>
      <c r="R82" s="80"/>
      <c r="S82" s="3"/>
      <c r="W82" s="157"/>
      <c r="X82" s="18"/>
      <c r="AE82" s="1"/>
      <c r="AN82" s="18"/>
      <c r="AO82" s="18"/>
      <c r="AP82" s="18"/>
    </row>
    <row r="83" ht="24.95" hidden="1" customHeight="1" spans="2:42">
      <c r="B83" s="192"/>
      <c r="C83" s="19"/>
      <c r="D83" s="48" t="s">
        <v>162</v>
      </c>
      <c r="E83" s="193" t="s">
        <v>163</v>
      </c>
      <c r="J83" s="2"/>
      <c r="K83" s="197">
        <v>1.8</v>
      </c>
      <c r="L83" s="24"/>
      <c r="M83" s="125"/>
      <c r="N83" s="80"/>
      <c r="R83" s="80"/>
      <c r="S83" s="3"/>
      <c r="AE83" s="1"/>
      <c r="AN83" s="18"/>
      <c r="AO83" s="18"/>
      <c r="AP83" s="18"/>
    </row>
    <row r="84" ht="24.95" hidden="1" customHeight="1" spans="2:42">
      <c r="B84" s="192"/>
      <c r="C84" s="19"/>
      <c r="D84" s="48"/>
      <c r="E84" s="193"/>
      <c r="J84" s="2"/>
      <c r="K84" s="193"/>
      <c r="L84" s="24"/>
      <c r="M84" s="125"/>
      <c r="N84" s="80"/>
      <c r="R84" s="1"/>
      <c r="S84" s="3"/>
      <c r="AE84" s="1"/>
      <c r="AN84" s="18"/>
      <c r="AO84" s="18"/>
      <c r="AP84" s="18"/>
    </row>
    <row r="85" ht="24.95" hidden="1" customHeight="1" spans="2:37">
      <c r="B85" s="192"/>
      <c r="C85" s="19"/>
      <c r="D85" s="48"/>
      <c r="J85" s="2"/>
      <c r="K85" s="2"/>
      <c r="L85" s="19"/>
      <c r="M85" s="125"/>
      <c r="N85" s="80"/>
      <c r="R85" s="1"/>
      <c r="S85" s="3"/>
      <c r="AE85" s="1"/>
      <c r="AI85" s="18"/>
      <c r="AJ85" s="18"/>
      <c r="AK85" s="18"/>
    </row>
    <row r="86" ht="24.95" hidden="1" customHeight="1" spans="2:37">
      <c r="B86" s="192"/>
      <c r="C86" s="47" t="s">
        <v>164</v>
      </c>
      <c r="D86" s="18"/>
      <c r="E86" s="19"/>
      <c r="F86" s="19"/>
      <c r="G86" s="18"/>
      <c r="H86" s="18"/>
      <c r="I86" s="18"/>
      <c r="J86" s="19"/>
      <c r="K86" s="19"/>
      <c r="L86" s="19"/>
      <c r="M86" s="125"/>
      <c r="N86" s="18"/>
      <c r="R86" s="1"/>
      <c r="S86" s="3"/>
      <c r="AE86" s="1"/>
      <c r="AI86" s="18"/>
      <c r="AJ86" s="18"/>
      <c r="AK86" s="18"/>
    </row>
    <row r="87" ht="24.95" hidden="1" customHeight="1" spans="2:37">
      <c r="B87" s="192"/>
      <c r="C87" s="19"/>
      <c r="D87" s="48" t="s">
        <v>162</v>
      </c>
      <c r="E87" s="193" t="s">
        <v>165</v>
      </c>
      <c r="F87" s="19"/>
      <c r="G87" s="18"/>
      <c r="H87" s="18"/>
      <c r="I87" s="18"/>
      <c r="J87" s="19"/>
      <c r="K87" s="198">
        <v>8.4999</v>
      </c>
      <c r="L87" s="199"/>
      <c r="M87" s="125"/>
      <c r="N87" s="80"/>
      <c r="R87" s="1"/>
      <c r="S87" s="3"/>
      <c r="AE87" s="1"/>
      <c r="AI87" s="18"/>
      <c r="AJ87" s="18"/>
      <c r="AK87" s="18"/>
    </row>
    <row r="88" ht="24.95" hidden="1" customHeight="1" spans="2:37">
      <c r="B88" s="192"/>
      <c r="C88" s="19"/>
      <c r="D88" s="18"/>
      <c r="E88" s="19"/>
      <c r="F88" s="19"/>
      <c r="G88" s="18"/>
      <c r="H88" s="18"/>
      <c r="I88" s="18"/>
      <c r="J88" s="19"/>
      <c r="K88" s="200"/>
      <c r="L88" s="200"/>
      <c r="M88" s="125"/>
      <c r="N88" s="80"/>
      <c r="R88" s="1"/>
      <c r="S88" s="3"/>
      <c r="AE88" s="1"/>
      <c r="AI88" s="18"/>
      <c r="AJ88" s="18"/>
      <c r="AK88" s="18"/>
    </row>
    <row r="89" ht="24.95" hidden="1" customHeight="1" spans="2:37">
      <c r="B89" s="192"/>
      <c r="C89" s="47" t="s">
        <v>166</v>
      </c>
      <c r="D89" s="18"/>
      <c r="E89" s="19"/>
      <c r="F89" s="19"/>
      <c r="G89" s="18"/>
      <c r="H89" s="18"/>
      <c r="I89" s="18"/>
      <c r="J89" s="19"/>
      <c r="K89" s="200"/>
      <c r="L89" s="200"/>
      <c r="M89" s="125"/>
      <c r="N89" s="80"/>
      <c r="R89" s="1"/>
      <c r="S89" s="3"/>
      <c r="AE89" s="1"/>
      <c r="AI89" s="18"/>
      <c r="AJ89" s="18"/>
      <c r="AK89" s="18"/>
    </row>
    <row r="90" ht="24.95" hidden="1" customHeight="1" spans="2:37">
      <c r="B90" s="192"/>
      <c r="C90" s="19" t="s">
        <v>159</v>
      </c>
      <c r="D90" s="18"/>
      <c r="E90" s="19"/>
      <c r="F90" s="19"/>
      <c r="G90" s="18"/>
      <c r="H90" s="18"/>
      <c r="I90" s="18"/>
      <c r="J90" s="19"/>
      <c r="K90" s="200"/>
      <c r="L90" s="200"/>
      <c r="M90" s="125"/>
      <c r="N90" s="80"/>
      <c r="R90" s="1"/>
      <c r="S90" s="3"/>
      <c r="AE90" s="1"/>
      <c r="AI90" s="18"/>
      <c r="AJ90" s="18"/>
      <c r="AK90" s="18"/>
    </row>
    <row r="91" ht="24.95" hidden="1" customHeight="1" spans="2:37">
      <c r="B91" s="192"/>
      <c r="C91" s="19"/>
      <c r="D91" s="18" t="s">
        <v>167</v>
      </c>
      <c r="E91" s="19"/>
      <c r="F91" s="19"/>
      <c r="G91" s="18"/>
      <c r="H91" s="18"/>
      <c r="I91" s="18"/>
      <c r="J91" s="19"/>
      <c r="K91" s="200"/>
      <c r="L91" s="200"/>
      <c r="M91" s="125"/>
      <c r="N91" s="80"/>
      <c r="R91" s="1"/>
      <c r="S91" s="3"/>
      <c r="AE91" s="1"/>
      <c r="AI91" s="18"/>
      <c r="AJ91" s="18"/>
      <c r="AK91" s="18"/>
    </row>
    <row r="92" ht="24.95" hidden="1" customHeight="1" spans="2:37">
      <c r="B92" s="192"/>
      <c r="C92" s="19"/>
      <c r="D92" s="18" t="s">
        <v>168</v>
      </c>
      <c r="E92" s="19"/>
      <c r="F92" s="19"/>
      <c r="G92" s="18"/>
      <c r="H92" s="18"/>
      <c r="I92" s="18"/>
      <c r="J92" s="19"/>
      <c r="K92" s="200"/>
      <c r="L92" s="200"/>
      <c r="M92" s="125"/>
      <c r="N92" s="80"/>
      <c r="R92" s="1"/>
      <c r="S92" s="3"/>
      <c r="AE92" s="1"/>
      <c r="AI92" s="18"/>
      <c r="AJ92" s="18"/>
      <c r="AK92" s="18"/>
    </row>
    <row r="93" ht="24.95" hidden="1" customHeight="1" spans="2:37">
      <c r="B93" s="192"/>
      <c r="C93" s="19"/>
      <c r="D93" s="48" t="s">
        <v>162</v>
      </c>
      <c r="E93" s="25" t="s">
        <v>169</v>
      </c>
      <c r="F93" s="24"/>
      <c r="G93" s="48"/>
      <c r="H93" s="48"/>
      <c r="I93" s="48"/>
      <c r="J93" s="24"/>
      <c r="K93" s="198">
        <f>IF(ASPECT_RATIO&lt;&gt;"",VLOOKUP(ASPECT_RATIO,VSYNC_WIDTH_TABLE,2,FALSE),VLOOKUP("Custom",VSYNC_WIDTH_TABLE,2,FALSE))</f>
        <v>10</v>
      </c>
      <c r="L93" s="199"/>
      <c r="M93" s="125"/>
      <c r="N93" s="80"/>
      <c r="R93" s="1"/>
      <c r="S93" s="3"/>
      <c r="AE93" s="1"/>
      <c r="AI93" s="18"/>
      <c r="AJ93" s="18"/>
      <c r="AK93" s="18"/>
    </row>
    <row r="94" ht="24.95" hidden="1" customHeight="1" spans="2:37">
      <c r="B94" s="192"/>
      <c r="C94" s="19"/>
      <c r="D94" s="88" t="s">
        <v>162</v>
      </c>
      <c r="E94" s="25" t="s">
        <v>170</v>
      </c>
      <c r="F94" s="25"/>
      <c r="G94" s="88"/>
      <c r="H94" s="88"/>
      <c r="I94" s="88"/>
      <c r="J94" s="25"/>
      <c r="K94" s="201">
        <v>8</v>
      </c>
      <c r="L94" s="25"/>
      <c r="M94" s="125"/>
      <c r="N94" s="80"/>
      <c r="R94" s="1"/>
      <c r="S94" s="3"/>
      <c r="AE94" s="1"/>
      <c r="AI94" s="18"/>
      <c r="AJ94" s="18"/>
      <c r="AK94" s="18"/>
    </row>
    <row r="95" ht="24.95" hidden="1" customHeight="1" spans="2:37">
      <c r="B95" s="192"/>
      <c r="C95" s="19"/>
      <c r="D95" s="18"/>
      <c r="E95" s="19"/>
      <c r="F95" s="19"/>
      <c r="G95" s="18"/>
      <c r="H95" s="18"/>
      <c r="I95" s="18"/>
      <c r="J95" s="19"/>
      <c r="K95" s="19"/>
      <c r="L95" s="19"/>
      <c r="M95" s="125"/>
      <c r="N95" s="80"/>
      <c r="R95" s="1"/>
      <c r="S95" s="3"/>
      <c r="AE95" s="1"/>
      <c r="AI95" s="18"/>
      <c r="AJ95" s="18"/>
      <c r="AK95" s="18"/>
    </row>
    <row r="96" ht="24.95" hidden="1" customHeight="1" spans="2:37">
      <c r="B96" s="192"/>
      <c r="C96" s="19"/>
      <c r="D96" s="18"/>
      <c r="E96" s="19"/>
      <c r="F96" s="19"/>
      <c r="G96" s="18"/>
      <c r="H96" s="18"/>
      <c r="I96" s="18"/>
      <c r="J96" s="19"/>
      <c r="K96" s="19"/>
      <c r="L96" s="19"/>
      <c r="M96" s="125"/>
      <c r="N96" s="80"/>
      <c r="R96" s="1"/>
      <c r="S96" s="3"/>
      <c r="AE96" s="1"/>
      <c r="AI96" s="18"/>
      <c r="AJ96" s="18"/>
      <c r="AK96" s="18"/>
    </row>
    <row r="97" ht="24.95" hidden="1" customHeight="1" spans="2:37">
      <c r="B97" s="192"/>
      <c r="C97" s="47" t="s">
        <v>171</v>
      </c>
      <c r="D97" s="18"/>
      <c r="E97" s="19"/>
      <c r="F97" s="19"/>
      <c r="G97" s="18"/>
      <c r="H97" s="18"/>
      <c r="I97" s="18"/>
      <c r="J97" s="19"/>
      <c r="K97" s="19"/>
      <c r="L97" s="19"/>
      <c r="M97" s="125"/>
      <c r="N97" s="80"/>
      <c r="R97" s="1"/>
      <c r="S97" s="3"/>
      <c r="AE97" s="1"/>
      <c r="AI97" s="18"/>
      <c r="AJ97" s="18"/>
      <c r="AK97" s="18"/>
    </row>
    <row r="98" ht="24.95" hidden="1" customHeight="1" spans="2:37">
      <c r="B98" s="192"/>
      <c r="C98" s="19" t="s">
        <v>159</v>
      </c>
      <c r="D98" s="18"/>
      <c r="E98" s="19"/>
      <c r="F98" s="19"/>
      <c r="G98" s="18"/>
      <c r="H98" s="18"/>
      <c r="I98" s="18"/>
      <c r="J98" s="19"/>
      <c r="K98" s="19"/>
      <c r="L98" s="19"/>
      <c r="M98" s="125"/>
      <c r="N98" s="80"/>
      <c r="R98" s="1"/>
      <c r="S98" s="3"/>
      <c r="AE98" s="1"/>
      <c r="AI98" s="18"/>
      <c r="AJ98" s="18"/>
      <c r="AK98" s="18"/>
    </row>
    <row r="99" ht="24.95" hidden="1" customHeight="1" spans="2:37">
      <c r="B99" s="192"/>
      <c r="C99" s="19"/>
      <c r="D99" s="18" t="s">
        <v>172</v>
      </c>
      <c r="E99" s="19"/>
      <c r="F99" s="19"/>
      <c r="G99" s="18"/>
      <c r="H99" s="18"/>
      <c r="I99" s="18"/>
      <c r="J99" s="19"/>
      <c r="K99" s="19"/>
      <c r="L99" s="19"/>
      <c r="M99" s="125"/>
      <c r="N99" s="80"/>
      <c r="R99" s="1"/>
      <c r="S99" s="3"/>
      <c r="AE99" s="1"/>
      <c r="AI99" s="18"/>
      <c r="AJ99" s="18"/>
      <c r="AK99" s="18"/>
    </row>
    <row r="100" ht="24.95" hidden="1" customHeight="1" spans="2:37">
      <c r="B100" s="192"/>
      <c r="C100" s="19"/>
      <c r="D100" s="48" t="s">
        <v>162</v>
      </c>
      <c r="E100" s="25" t="s">
        <v>173</v>
      </c>
      <c r="F100" s="25"/>
      <c r="G100" s="88"/>
      <c r="H100" s="88"/>
      <c r="I100" s="88"/>
      <c r="J100" s="25"/>
      <c r="K100" s="201">
        <v>550</v>
      </c>
      <c r="L100" s="25"/>
      <c r="M100" s="125"/>
      <c r="N100" s="80"/>
      <c r="R100" s="1"/>
      <c r="S100" s="3"/>
      <c r="AE100" s="1"/>
      <c r="AI100" s="18"/>
      <c r="AJ100" s="18"/>
      <c r="AK100" s="18"/>
    </row>
    <row r="101" ht="18" hidden="1" spans="2:37">
      <c r="B101" s="192"/>
      <c r="C101" s="19"/>
      <c r="I101" s="202" t="s">
        <v>174</v>
      </c>
      <c r="L101" s="18"/>
      <c r="M101" s="125"/>
      <c r="N101" s="80"/>
      <c r="R101" s="1"/>
      <c r="S101" s="3"/>
      <c r="AE101" s="1"/>
      <c r="AI101" s="18"/>
      <c r="AJ101" s="18"/>
      <c r="AK101" s="18"/>
    </row>
    <row r="102" ht="18" hidden="1" spans="2:37">
      <c r="B102" s="192"/>
      <c r="C102" s="19"/>
      <c r="D102" s="48" t="s">
        <v>162</v>
      </c>
      <c r="E102" s="25" t="s">
        <v>175</v>
      </c>
      <c r="I102" s="202"/>
      <c r="K102" s="203">
        <v>6</v>
      </c>
      <c r="L102" s="18"/>
      <c r="M102" s="125"/>
      <c r="N102" s="80"/>
      <c r="R102" s="1"/>
      <c r="S102" s="3"/>
      <c r="AE102" s="1"/>
      <c r="AI102" s="18"/>
      <c r="AJ102" s="18"/>
      <c r="AK102" s="18"/>
    </row>
    <row r="103" ht="18" hidden="1" spans="2:37">
      <c r="B103" s="192"/>
      <c r="C103" s="19"/>
      <c r="D103" s="48" t="s">
        <v>162</v>
      </c>
      <c r="E103" s="25" t="s">
        <v>176</v>
      </c>
      <c r="F103" s="19"/>
      <c r="G103" s="18"/>
      <c r="H103" s="18"/>
      <c r="I103" s="18"/>
      <c r="J103" s="19"/>
      <c r="K103" s="198">
        <v>3</v>
      </c>
      <c r="L103" s="18"/>
      <c r="M103" s="125"/>
      <c r="N103" s="80"/>
      <c r="R103" s="1"/>
      <c r="S103" s="3"/>
      <c r="AE103" s="1"/>
      <c r="AI103" s="18"/>
      <c r="AJ103" s="18"/>
      <c r="AK103" s="18"/>
    </row>
    <row r="104" ht="24.95" hidden="1" customHeight="1" spans="2:37">
      <c r="B104" s="192"/>
      <c r="C104" s="19"/>
      <c r="D104" s="18"/>
      <c r="E104" s="19"/>
      <c r="F104" s="19"/>
      <c r="G104" s="18"/>
      <c r="H104" s="18"/>
      <c r="I104" s="18"/>
      <c r="J104" s="19"/>
      <c r="K104" s="19"/>
      <c r="L104" s="19"/>
      <c r="M104" s="125"/>
      <c r="R104" s="1"/>
      <c r="S104" s="3"/>
      <c r="AE104" s="1"/>
      <c r="AI104" s="18"/>
      <c r="AJ104" s="18"/>
      <c r="AK104" s="18"/>
    </row>
    <row r="105" ht="24.95" hidden="1" customHeight="1" spans="2:37">
      <c r="B105" s="192"/>
      <c r="C105" s="47" t="s">
        <v>177</v>
      </c>
      <c r="D105" s="18"/>
      <c r="E105" s="19"/>
      <c r="F105" s="19"/>
      <c r="G105" s="18"/>
      <c r="H105" s="18"/>
      <c r="I105" s="18"/>
      <c r="J105" s="19"/>
      <c r="K105" s="19"/>
      <c r="L105" s="19"/>
      <c r="M105" s="125"/>
      <c r="O105" s="157"/>
      <c r="P105" s="68"/>
      <c r="Q105" s="26"/>
      <c r="R105" s="1"/>
      <c r="S105" s="3"/>
      <c r="AE105" s="1"/>
      <c r="AI105" s="18"/>
      <c r="AJ105" s="18"/>
      <c r="AK105" s="18"/>
    </row>
    <row r="106" ht="24.95" hidden="1" customHeight="1" spans="2:37">
      <c r="B106" s="192"/>
      <c r="C106" s="19" t="s">
        <v>159</v>
      </c>
      <c r="D106" s="18"/>
      <c r="E106" s="19"/>
      <c r="F106" s="19"/>
      <c r="G106" s="18"/>
      <c r="H106" s="18"/>
      <c r="I106" s="18"/>
      <c r="J106" s="19"/>
      <c r="K106" s="19"/>
      <c r="L106" s="19"/>
      <c r="M106" s="125"/>
      <c r="O106" s="157"/>
      <c r="P106" s="68"/>
      <c r="Q106" s="26"/>
      <c r="R106" s="1"/>
      <c r="S106" s="3"/>
      <c r="AE106" s="1"/>
      <c r="AI106" s="18"/>
      <c r="AJ106" s="18"/>
      <c r="AK106" s="18"/>
    </row>
    <row r="107" ht="24.95" hidden="1" customHeight="1" spans="2:37">
      <c r="B107" s="192"/>
      <c r="C107" s="19"/>
      <c r="D107" s="18" t="s">
        <v>178</v>
      </c>
      <c r="E107" s="19"/>
      <c r="F107" s="19"/>
      <c r="G107" s="18"/>
      <c r="H107" s="18"/>
      <c r="I107" s="18"/>
      <c r="J107" s="19"/>
      <c r="K107" s="19"/>
      <c r="L107" s="19"/>
      <c r="M107" s="125"/>
      <c r="O107" s="157"/>
      <c r="P107" s="68"/>
      <c r="Q107" s="26"/>
      <c r="R107" s="1"/>
      <c r="S107" s="3"/>
      <c r="AE107" s="1"/>
      <c r="AI107" s="18"/>
      <c r="AJ107" s="80"/>
      <c r="AK107" s="18"/>
    </row>
    <row r="108" ht="24.95" hidden="1" customHeight="1" spans="2:37">
      <c r="B108" s="192"/>
      <c r="C108" s="19"/>
      <c r="D108" s="18" t="s">
        <v>179</v>
      </c>
      <c r="E108" s="19"/>
      <c r="F108" s="19"/>
      <c r="G108" s="18"/>
      <c r="H108" s="18"/>
      <c r="I108" s="18"/>
      <c r="J108" s="26"/>
      <c r="K108" s="26"/>
      <c r="L108" s="26"/>
      <c r="M108" s="125"/>
      <c r="O108" s="157"/>
      <c r="P108" s="68"/>
      <c r="Q108" s="26"/>
      <c r="R108" s="1"/>
      <c r="S108" s="3"/>
      <c r="AE108" s="1"/>
      <c r="AI108" s="18"/>
      <c r="AJ108" s="80"/>
      <c r="AK108" s="18"/>
    </row>
    <row r="109" ht="24.95" hidden="1" customHeight="1" spans="2:36">
      <c r="B109" s="192"/>
      <c r="C109" s="19"/>
      <c r="D109" s="194" t="s">
        <v>180</v>
      </c>
      <c r="E109" s="19"/>
      <c r="F109" s="19"/>
      <c r="G109" s="18"/>
      <c r="H109" s="18"/>
      <c r="I109" s="18"/>
      <c r="J109" s="19"/>
      <c r="K109" s="26"/>
      <c r="L109" s="26"/>
      <c r="M109" s="125"/>
      <c r="O109" s="157"/>
      <c r="P109" s="68"/>
      <c r="Q109" s="26"/>
      <c r="R109" s="1"/>
      <c r="S109" s="3"/>
      <c r="AE109" s="1"/>
      <c r="AI109" s="18"/>
      <c r="AJ109" s="80"/>
    </row>
    <row r="110" ht="24.95" hidden="1" customHeight="1" spans="2:36">
      <c r="B110" s="192"/>
      <c r="C110" s="19"/>
      <c r="D110" s="48"/>
      <c r="E110" s="24" t="s">
        <v>181</v>
      </c>
      <c r="F110" s="24"/>
      <c r="G110" s="48"/>
      <c r="H110" s="48"/>
      <c r="I110" s="48"/>
      <c r="J110" s="24"/>
      <c r="K110" s="204">
        <v>600</v>
      </c>
      <c r="L110" s="54"/>
      <c r="M110" s="125"/>
      <c r="O110" s="157"/>
      <c r="P110" s="68"/>
      <c r="Q110" s="26"/>
      <c r="R110" s="1"/>
      <c r="S110" s="3"/>
      <c r="AE110" s="1"/>
      <c r="AI110" s="18"/>
      <c r="AJ110" s="18"/>
    </row>
    <row r="111" ht="24.95" hidden="1" customHeight="1" spans="2:36">
      <c r="B111" s="192"/>
      <c r="C111" s="19"/>
      <c r="D111" s="88"/>
      <c r="E111" s="24" t="s">
        <v>182</v>
      </c>
      <c r="F111" s="24"/>
      <c r="G111" s="48"/>
      <c r="H111" s="48"/>
      <c r="I111" s="48"/>
      <c r="J111" s="24"/>
      <c r="K111" s="204">
        <v>40</v>
      </c>
      <c r="L111" s="54"/>
      <c r="M111" s="125"/>
      <c r="O111" s="157"/>
      <c r="P111" s="68"/>
      <c r="Q111" s="26"/>
      <c r="R111" s="1"/>
      <c r="S111" s="3"/>
      <c r="AE111" s="1"/>
      <c r="AI111" s="18"/>
      <c r="AJ111" s="18"/>
    </row>
    <row r="112" ht="24.95" hidden="1" customHeight="1" spans="2:36">
      <c r="B112" s="192"/>
      <c r="C112" s="19"/>
      <c r="D112" s="88"/>
      <c r="E112" s="24" t="s">
        <v>183</v>
      </c>
      <c r="F112" s="19"/>
      <c r="G112" s="18"/>
      <c r="H112" s="18"/>
      <c r="I112" s="18"/>
      <c r="J112" s="19"/>
      <c r="K112" s="204">
        <v>128</v>
      </c>
      <c r="L112" s="54"/>
      <c r="M112" s="125"/>
      <c r="O112" s="157"/>
      <c r="P112" s="68"/>
      <c r="Q112" s="26"/>
      <c r="R112" s="1"/>
      <c r="S112" s="3"/>
      <c r="AE112" s="1"/>
      <c r="AI112" s="18"/>
      <c r="AJ112" s="18"/>
    </row>
    <row r="113" ht="18" hidden="1" spans="2:36">
      <c r="B113" s="192"/>
      <c r="C113" s="19"/>
      <c r="D113" s="88"/>
      <c r="E113" s="24" t="s">
        <v>184</v>
      </c>
      <c r="F113" s="19"/>
      <c r="G113" s="18"/>
      <c r="H113" s="18"/>
      <c r="I113" s="18"/>
      <c r="J113" s="19"/>
      <c r="K113" s="204">
        <v>20</v>
      </c>
      <c r="L113" s="54"/>
      <c r="M113" s="125"/>
      <c r="O113" s="157"/>
      <c r="P113" s="68"/>
      <c r="Q113" s="26"/>
      <c r="R113" s="1"/>
      <c r="S113" s="3"/>
      <c r="AE113" s="1"/>
      <c r="AI113" s="18"/>
      <c r="AJ113" s="18"/>
    </row>
    <row r="114" ht="17.25" hidden="1" spans="2:31">
      <c r="B114" s="192"/>
      <c r="C114" s="19"/>
      <c r="D114" s="88"/>
      <c r="E114" s="24"/>
      <c r="F114" s="19"/>
      <c r="G114" s="18"/>
      <c r="H114" s="18"/>
      <c r="I114" s="18"/>
      <c r="J114" s="19"/>
      <c r="K114" s="54"/>
      <c r="L114" s="54"/>
      <c r="M114" s="125"/>
      <c r="O114" s="157"/>
      <c r="P114" s="68"/>
      <c r="Q114" s="26"/>
      <c r="R114" s="1"/>
      <c r="S114" s="3"/>
      <c r="AE114" s="1"/>
    </row>
    <row r="115" hidden="1" spans="2:31">
      <c r="B115" s="192"/>
      <c r="C115" s="19"/>
      <c r="D115" s="88"/>
      <c r="E115" s="24" t="s">
        <v>185</v>
      </c>
      <c r="F115" s="19"/>
      <c r="G115" s="18"/>
      <c r="H115" s="18"/>
      <c r="I115" s="18"/>
      <c r="J115" s="19"/>
      <c r="K115" s="54">
        <f>GTF_K_VAR/256*GTF_M_VAR</f>
        <v>300</v>
      </c>
      <c r="L115" s="54"/>
      <c r="M115" s="125"/>
      <c r="O115" s="157"/>
      <c r="P115" s="68"/>
      <c r="Q115" s="26"/>
      <c r="R115" s="1"/>
      <c r="S115" s="3"/>
      <c r="AE115" s="1"/>
    </row>
    <row r="116" hidden="1" spans="2:31">
      <c r="B116" s="192"/>
      <c r="C116" s="19"/>
      <c r="D116" s="88"/>
      <c r="E116" s="24" t="s">
        <v>186</v>
      </c>
      <c r="F116" s="19"/>
      <c r="G116" s="18"/>
      <c r="H116" s="18"/>
      <c r="I116" s="18"/>
      <c r="J116" s="19"/>
      <c r="K116" s="54">
        <f>((GTF_C_VAR-GTF_J_VAR)*GTF_K_VAR/256)+GTF_J_VAR</f>
        <v>30</v>
      </c>
      <c r="L116" s="54"/>
      <c r="M116" s="125"/>
      <c r="O116" s="157"/>
      <c r="P116" s="68"/>
      <c r="Q116" s="26"/>
      <c r="R116" s="1"/>
      <c r="S116" s="3"/>
      <c r="AE116" s="1"/>
    </row>
    <row r="117" hidden="1" spans="2:31">
      <c r="B117" s="192"/>
      <c r="C117" s="19"/>
      <c r="D117" s="88"/>
      <c r="E117" s="24"/>
      <c r="F117" s="19"/>
      <c r="G117" s="18"/>
      <c r="H117" s="18"/>
      <c r="I117" s="18"/>
      <c r="J117" s="19"/>
      <c r="K117" s="54"/>
      <c r="L117" s="54"/>
      <c r="M117" s="125"/>
      <c r="O117" s="157"/>
      <c r="P117" s="68"/>
      <c r="Q117" s="26"/>
      <c r="R117" s="1"/>
      <c r="S117" s="3"/>
      <c r="AE117" s="1"/>
    </row>
    <row r="118" hidden="1" spans="2:31">
      <c r="B118" s="192"/>
      <c r="C118" s="19"/>
      <c r="D118" s="88"/>
      <c r="E118" s="24"/>
      <c r="F118" s="19"/>
      <c r="G118" s="18"/>
      <c r="H118" s="18"/>
      <c r="I118" s="18"/>
      <c r="J118" s="19"/>
      <c r="K118" s="54"/>
      <c r="L118" s="54"/>
      <c r="M118" s="125"/>
      <c r="O118" s="157"/>
      <c r="P118" s="68"/>
      <c r="Q118" s="26"/>
      <c r="R118" s="1"/>
      <c r="S118" s="3"/>
      <c r="AE118" s="1"/>
    </row>
    <row r="119" ht="17.25" hidden="1" spans="2:31">
      <c r="B119" s="191" t="s">
        <v>187</v>
      </c>
      <c r="C119" s="19"/>
      <c r="D119" s="88"/>
      <c r="E119" s="24"/>
      <c r="F119" s="19"/>
      <c r="G119" s="18"/>
      <c r="H119" s="18"/>
      <c r="I119" s="18"/>
      <c r="J119" s="19"/>
      <c r="K119" s="54"/>
      <c r="L119" s="54"/>
      <c r="M119" s="125"/>
      <c r="Q119" s="208"/>
      <c r="R119" s="1"/>
      <c r="S119" s="3"/>
      <c r="AE119" s="1"/>
    </row>
    <row r="120" ht="18" hidden="1" spans="2:31">
      <c r="B120" s="192"/>
      <c r="C120" s="19"/>
      <c r="D120" s="88" t="s">
        <v>188</v>
      </c>
      <c r="E120" s="25"/>
      <c r="I120" s="202"/>
      <c r="K120" s="203">
        <v>160</v>
      </c>
      <c r="L120" s="54"/>
      <c r="M120" s="125"/>
      <c r="R120" s="1"/>
      <c r="S120" s="3"/>
      <c r="AE120" s="1"/>
    </row>
    <row r="121" ht="18" hidden="1" spans="2:31">
      <c r="B121" s="192"/>
      <c r="C121" s="19"/>
      <c r="D121" s="88" t="s">
        <v>189</v>
      </c>
      <c r="E121" s="25"/>
      <c r="I121" s="202"/>
      <c r="K121" s="203">
        <v>32</v>
      </c>
      <c r="L121" s="54"/>
      <c r="M121" s="125"/>
      <c r="R121" s="1"/>
      <c r="S121" s="3"/>
      <c r="AE121" s="1"/>
    </row>
    <row r="122" ht="18" hidden="1" spans="2:31">
      <c r="B122" s="192"/>
      <c r="C122" s="19"/>
      <c r="D122" s="88"/>
      <c r="E122" s="25"/>
      <c r="I122" s="202"/>
      <c r="K122" s="205"/>
      <c r="L122" s="54"/>
      <c r="M122" s="125"/>
      <c r="R122" s="1"/>
      <c r="S122" s="3"/>
      <c r="AE122" s="1"/>
    </row>
    <row r="123" ht="18" hidden="1" spans="2:31">
      <c r="B123" s="192"/>
      <c r="C123" s="19"/>
      <c r="D123" s="88" t="s">
        <v>190</v>
      </c>
      <c r="E123" s="25"/>
      <c r="I123" s="202"/>
      <c r="K123" s="201">
        <v>460</v>
      </c>
      <c r="L123" s="54"/>
      <c r="M123" s="125"/>
      <c r="R123" s="1"/>
      <c r="S123" s="3"/>
      <c r="AE123" s="1"/>
    </row>
    <row r="124" ht="18" hidden="1" spans="2:31">
      <c r="B124" s="192"/>
      <c r="C124" s="19"/>
      <c r="D124" s="88" t="s">
        <v>191</v>
      </c>
      <c r="E124" s="25"/>
      <c r="I124" s="202"/>
      <c r="K124" s="203">
        <v>23</v>
      </c>
      <c r="L124" s="54"/>
      <c r="M124" s="125"/>
      <c r="R124" s="1"/>
      <c r="S124" s="3"/>
      <c r="AE124" s="1"/>
    </row>
    <row r="125" ht="18" hidden="1" spans="2:31">
      <c r="B125" s="192"/>
      <c r="C125" s="19"/>
      <c r="D125" s="88" t="s">
        <v>192</v>
      </c>
      <c r="E125" s="25"/>
      <c r="I125" s="202"/>
      <c r="K125" s="203">
        <v>3</v>
      </c>
      <c r="L125" s="54"/>
      <c r="M125" s="125"/>
      <c r="R125" s="1"/>
      <c r="S125" s="3"/>
      <c r="AE125" s="1"/>
    </row>
    <row r="126" ht="17.25" hidden="1" spans="2:31">
      <c r="B126" s="192"/>
      <c r="C126" s="19"/>
      <c r="D126" s="88"/>
      <c r="E126" s="25"/>
      <c r="I126" s="202"/>
      <c r="K126" s="206"/>
      <c r="L126" s="54"/>
      <c r="M126" s="125"/>
      <c r="R126" s="1"/>
      <c r="S126" s="3"/>
      <c r="AE126" s="1"/>
    </row>
    <row r="127" ht="17.25" hidden="1" spans="2:31">
      <c r="B127" s="192"/>
      <c r="C127" s="19"/>
      <c r="D127" s="88"/>
      <c r="E127" s="25"/>
      <c r="I127" s="202"/>
      <c r="K127" s="207"/>
      <c r="L127" s="54"/>
      <c r="M127" s="125"/>
      <c r="R127" s="1"/>
      <c r="S127" s="3"/>
      <c r="AE127" s="1"/>
    </row>
    <row r="128" ht="18" hidden="1" spans="2:31">
      <c r="B128" s="191" t="s">
        <v>193</v>
      </c>
      <c r="C128" s="19"/>
      <c r="D128" s="88"/>
      <c r="E128" s="25"/>
      <c r="I128" s="202"/>
      <c r="K128" s="201">
        <v>0.001</v>
      </c>
      <c r="L128" s="54"/>
      <c r="M128" s="125"/>
      <c r="R128" s="1"/>
      <c r="S128" s="3"/>
      <c r="AE128" s="1"/>
    </row>
    <row r="129" ht="17.25" hidden="1" spans="2:31">
      <c r="B129" s="191"/>
      <c r="C129" s="19"/>
      <c r="D129" s="88"/>
      <c r="E129" s="25"/>
      <c r="I129" s="202"/>
      <c r="K129" s="25"/>
      <c r="L129" s="54"/>
      <c r="M129" s="125"/>
      <c r="R129" s="1"/>
      <c r="S129" s="3"/>
      <c r="AE129" s="1"/>
    </row>
    <row r="130" ht="24" hidden="1" customHeight="1" spans="2:31">
      <c r="B130" s="192"/>
      <c r="C130" s="19"/>
      <c r="D130" s="18"/>
      <c r="E130" s="19"/>
      <c r="F130" s="19"/>
      <c r="G130" s="18"/>
      <c r="H130" s="18"/>
      <c r="I130" s="18"/>
      <c r="J130" s="18"/>
      <c r="K130" s="19"/>
      <c r="L130" s="19"/>
      <c r="M130" s="125"/>
      <c r="N130" s="18"/>
      <c r="O130" s="1"/>
      <c r="P130" s="3"/>
      <c r="Q130" s="4"/>
      <c r="R130" s="2"/>
      <c r="S130" s="1"/>
      <c r="T130" s="3"/>
      <c r="W130" s="1"/>
      <c r="X130" s="3"/>
      <c r="AE130" s="1"/>
    </row>
    <row r="131" ht="24" hidden="1" customHeight="1" spans="2:31">
      <c r="B131" s="191" t="s">
        <v>194</v>
      </c>
      <c r="C131" s="19"/>
      <c r="D131" s="18"/>
      <c r="E131" s="19"/>
      <c r="F131" s="19"/>
      <c r="G131" s="18"/>
      <c r="H131" s="18"/>
      <c r="I131" s="18"/>
      <c r="J131" s="18"/>
      <c r="K131" s="19"/>
      <c r="L131" s="19"/>
      <c r="M131" s="125"/>
      <c r="N131" s="18"/>
      <c r="O131" s="1"/>
      <c r="P131" s="3"/>
      <c r="Q131" s="4"/>
      <c r="R131" s="2"/>
      <c r="S131" s="1"/>
      <c r="T131" s="3"/>
      <c r="W131" s="1"/>
      <c r="X131" s="3"/>
      <c r="AE131" s="1"/>
    </row>
    <row r="132" ht="24" hidden="1" customHeight="1" spans="2:31">
      <c r="B132" s="191"/>
      <c r="C132" s="19"/>
      <c r="D132" s="18"/>
      <c r="E132" s="19"/>
      <c r="F132" s="19"/>
      <c r="G132" s="18"/>
      <c r="H132" s="18"/>
      <c r="I132" s="18"/>
      <c r="J132" s="18"/>
      <c r="K132" s="19"/>
      <c r="L132" s="19"/>
      <c r="M132" s="125"/>
      <c r="N132" s="18"/>
      <c r="O132" s="1"/>
      <c r="P132" s="3"/>
      <c r="Q132" s="4"/>
      <c r="R132" s="2"/>
      <c r="S132" s="1"/>
      <c r="T132" s="3"/>
      <c r="W132" s="1"/>
      <c r="X132" s="3"/>
      <c r="AE132" s="1"/>
    </row>
    <row r="133" ht="24" hidden="1" customHeight="1" spans="2:31">
      <c r="B133" s="191"/>
      <c r="C133" s="19"/>
      <c r="D133" s="209" t="s">
        <v>195</v>
      </c>
      <c r="E133" s="19"/>
      <c r="F133" s="19"/>
      <c r="G133" s="209" t="s">
        <v>196</v>
      </c>
      <c r="H133" s="18"/>
      <c r="I133" s="18"/>
      <c r="J133" s="18"/>
      <c r="K133" s="19"/>
      <c r="L133" s="19"/>
      <c r="M133" s="125"/>
      <c r="N133" s="18"/>
      <c r="O133" s="1"/>
      <c r="P133" s="3"/>
      <c r="Q133" s="4"/>
      <c r="R133" s="2"/>
      <c r="S133" s="1"/>
      <c r="T133" s="3"/>
      <c r="W133" s="1"/>
      <c r="X133" s="3"/>
      <c r="AE133" s="1"/>
    </row>
    <row r="134" ht="24" hidden="1" customHeight="1" spans="2:31">
      <c r="B134" s="192"/>
      <c r="C134" s="19"/>
      <c r="D134" s="18"/>
      <c r="E134" s="210" t="s">
        <v>197</v>
      </c>
      <c r="F134" s="19"/>
      <c r="G134" s="18"/>
      <c r="H134" s="18"/>
      <c r="I134" s="18"/>
      <c r="J134" s="18"/>
      <c r="K134" s="19"/>
      <c r="L134" s="19"/>
      <c r="M134" s="125"/>
      <c r="N134" s="18"/>
      <c r="O134" s="1"/>
      <c r="P134" s="3"/>
      <c r="Q134" s="4"/>
      <c r="R134" s="2"/>
      <c r="S134" s="1"/>
      <c r="T134" s="3"/>
      <c r="W134" s="1"/>
      <c r="X134" s="3"/>
      <c r="AE134" s="1"/>
    </row>
    <row r="135" ht="24" hidden="1" customHeight="1" spans="2:31">
      <c r="B135" s="192"/>
      <c r="C135" s="19"/>
      <c r="D135" s="236" t="s">
        <v>198</v>
      </c>
      <c r="E135" s="212">
        <v>4</v>
      </c>
      <c r="F135" s="19"/>
      <c r="G135" s="213" t="s">
        <v>199</v>
      </c>
      <c r="H135" s="214" t="s">
        <v>200</v>
      </c>
      <c r="I135" s="227" t="s">
        <v>201</v>
      </c>
      <c r="J135" s="228"/>
      <c r="K135" s="229"/>
      <c r="L135" s="19"/>
      <c r="M135" s="125"/>
      <c r="N135" s="18"/>
      <c r="O135" s="1"/>
      <c r="P135" s="3"/>
      <c r="Q135" s="4"/>
      <c r="R135" s="2"/>
      <c r="S135" s="1"/>
      <c r="T135" s="3"/>
      <c r="W135" s="1"/>
      <c r="X135" s="3"/>
      <c r="AE135" s="1"/>
    </row>
    <row r="136" ht="24" hidden="1" customHeight="1" spans="2:31">
      <c r="B136" s="192"/>
      <c r="C136" s="19"/>
      <c r="D136" s="237" t="s">
        <v>202</v>
      </c>
      <c r="E136" s="216">
        <f t="shared" ref="E136:E142" si="1">E135+1</f>
        <v>5</v>
      </c>
      <c r="F136" s="19"/>
      <c r="G136" s="217" t="s">
        <v>203</v>
      </c>
      <c r="H136" s="218" t="s">
        <v>204</v>
      </c>
      <c r="I136" s="230" t="s">
        <v>205</v>
      </c>
      <c r="J136" s="231"/>
      <c r="K136" s="212"/>
      <c r="L136" s="19"/>
      <c r="M136" s="125"/>
      <c r="N136" s="18"/>
      <c r="O136" s="1"/>
      <c r="P136" s="3"/>
      <c r="Q136" s="4"/>
      <c r="R136" s="2"/>
      <c r="S136" s="1"/>
      <c r="T136" s="3"/>
      <c r="W136" s="1"/>
      <c r="X136" s="3"/>
      <c r="AE136" s="1"/>
    </row>
    <row r="137" ht="24" hidden="1" customHeight="1" spans="2:31">
      <c r="B137" s="192"/>
      <c r="C137" s="19"/>
      <c r="D137" s="237" t="s">
        <v>206</v>
      </c>
      <c r="E137" s="216">
        <f t="shared" si="1"/>
        <v>6</v>
      </c>
      <c r="F137" s="219"/>
      <c r="G137" s="220" t="s">
        <v>204</v>
      </c>
      <c r="H137" s="221" t="s">
        <v>203</v>
      </c>
      <c r="I137" s="232" t="s">
        <v>207</v>
      </c>
      <c r="J137" s="233"/>
      <c r="K137" s="224"/>
      <c r="L137" s="19"/>
      <c r="M137" s="125"/>
      <c r="N137" s="18"/>
      <c r="O137" s="1"/>
      <c r="P137" s="3"/>
      <c r="Q137" s="4"/>
      <c r="R137" s="2"/>
      <c r="S137" s="1"/>
      <c r="T137" s="3"/>
      <c r="W137" s="1"/>
      <c r="X137" s="3"/>
      <c r="AE137" s="1"/>
    </row>
    <row r="138" ht="24" hidden="1" customHeight="1" spans="2:31">
      <c r="B138" s="192"/>
      <c r="C138" s="19"/>
      <c r="D138" s="237" t="s">
        <v>208</v>
      </c>
      <c r="E138" s="216">
        <f t="shared" si="1"/>
        <v>7</v>
      </c>
      <c r="F138" s="19"/>
      <c r="G138" s="18"/>
      <c r="H138" s="18"/>
      <c r="I138" s="18"/>
      <c r="J138" s="18"/>
      <c r="K138" s="19"/>
      <c r="L138" s="19"/>
      <c r="M138" s="125"/>
      <c r="N138" s="18"/>
      <c r="O138" s="1"/>
      <c r="P138" s="3"/>
      <c r="Q138" s="4"/>
      <c r="R138" s="2"/>
      <c r="S138" s="1"/>
      <c r="T138" s="3"/>
      <c r="W138" s="1"/>
      <c r="X138" s="3"/>
      <c r="AE138" s="1"/>
    </row>
    <row r="139" ht="24" hidden="1" customHeight="1" spans="2:31">
      <c r="B139" s="192"/>
      <c r="C139" s="19"/>
      <c r="D139" s="237" t="s">
        <v>209</v>
      </c>
      <c r="E139" s="216">
        <v>7</v>
      </c>
      <c r="F139" s="19"/>
      <c r="G139" s="18"/>
      <c r="H139" s="18"/>
      <c r="I139" s="18"/>
      <c r="J139" s="18"/>
      <c r="K139" s="19"/>
      <c r="L139" s="19"/>
      <c r="M139" s="125"/>
      <c r="N139" s="18"/>
      <c r="O139" s="1"/>
      <c r="P139" s="3"/>
      <c r="Q139" s="4"/>
      <c r="R139" s="2"/>
      <c r="S139" s="1"/>
      <c r="T139" s="3"/>
      <c r="W139" s="1"/>
      <c r="X139" s="3"/>
      <c r="AE139" s="1"/>
    </row>
    <row r="140" ht="24" hidden="1" customHeight="1" spans="2:31">
      <c r="B140" s="192"/>
      <c r="C140" s="19"/>
      <c r="D140" s="215" t="s">
        <v>210</v>
      </c>
      <c r="E140" s="216">
        <f>E138+1</f>
        <v>8</v>
      </c>
      <c r="F140" s="19"/>
      <c r="G140" s="18"/>
      <c r="H140" s="18"/>
      <c r="I140" s="18"/>
      <c r="J140" s="18"/>
      <c r="K140" s="19"/>
      <c r="L140" s="19"/>
      <c r="M140" s="125"/>
      <c r="N140" s="18"/>
      <c r="O140" s="1"/>
      <c r="P140" s="3"/>
      <c r="Q140" s="4"/>
      <c r="R140" s="2"/>
      <c r="S140" s="1"/>
      <c r="T140" s="3"/>
      <c r="W140" s="1"/>
      <c r="X140" s="3"/>
      <c r="AE140" s="1"/>
    </row>
    <row r="141" ht="24" hidden="1" customHeight="1" spans="2:31">
      <c r="B141" s="192"/>
      <c r="C141" s="19"/>
      <c r="D141" s="222" t="s">
        <v>210</v>
      </c>
      <c r="E141" s="216">
        <f t="shared" si="1"/>
        <v>9</v>
      </c>
      <c r="F141" s="19"/>
      <c r="G141" s="18"/>
      <c r="H141" s="18"/>
      <c r="I141" s="18"/>
      <c r="J141" s="18"/>
      <c r="K141" s="19"/>
      <c r="L141" s="19"/>
      <c r="M141" s="125"/>
      <c r="N141" s="18"/>
      <c r="O141" s="1"/>
      <c r="P141" s="3"/>
      <c r="Q141" s="4"/>
      <c r="R141" s="2"/>
      <c r="S141" s="1"/>
      <c r="T141" s="3"/>
      <c r="W141" s="1"/>
      <c r="X141" s="3"/>
      <c r="AE141" s="1"/>
    </row>
    <row r="142" ht="24" hidden="1" customHeight="1" spans="2:31">
      <c r="B142" s="192"/>
      <c r="C142" s="19"/>
      <c r="D142" s="223" t="s">
        <v>211</v>
      </c>
      <c r="E142" s="224">
        <f t="shared" si="1"/>
        <v>10</v>
      </c>
      <c r="F142" s="19"/>
      <c r="G142" s="18"/>
      <c r="H142" s="18"/>
      <c r="I142" s="18"/>
      <c r="J142" s="18"/>
      <c r="K142" s="19"/>
      <c r="L142" s="18"/>
      <c r="M142" s="125"/>
      <c r="N142" s="18"/>
      <c r="O142" s="1"/>
      <c r="P142" s="3"/>
      <c r="Q142" s="4"/>
      <c r="R142" s="2"/>
      <c r="S142" s="1"/>
      <c r="T142" s="3"/>
      <c r="W142" s="1"/>
      <c r="X142" s="3"/>
      <c r="AE142" s="1"/>
    </row>
    <row r="143" ht="24" hidden="1" customHeight="1" spans="2:31">
      <c r="B143" s="225"/>
      <c r="C143" s="44"/>
      <c r="D143" s="45"/>
      <c r="E143" s="226"/>
      <c r="F143" s="44"/>
      <c r="G143" s="45"/>
      <c r="H143" s="45"/>
      <c r="I143" s="45"/>
      <c r="J143" s="45"/>
      <c r="K143" s="45"/>
      <c r="L143" s="45"/>
      <c r="M143" s="118"/>
      <c r="N143" s="18"/>
      <c r="O143" s="1"/>
      <c r="P143" s="3"/>
      <c r="Q143" s="4"/>
      <c r="R143" s="2"/>
      <c r="S143" s="1"/>
      <c r="T143" s="3"/>
      <c r="W143" s="1"/>
      <c r="X143" s="3"/>
      <c r="AE143" s="1"/>
    </row>
    <row r="144" ht="24" hidden="1" customHeight="1" spans="14:31">
      <c r="N144" s="18"/>
      <c r="O144" s="1"/>
      <c r="P144" s="3"/>
      <c r="Q144" s="4"/>
      <c r="R144" s="2"/>
      <c r="S144" s="1"/>
      <c r="T144" s="3"/>
      <c r="W144" s="1"/>
      <c r="X144" s="3"/>
      <c r="AE144" s="1"/>
    </row>
    <row r="145" ht="24" customHeight="1" spans="14:31">
      <c r="N145" s="18"/>
      <c r="O145" s="1"/>
      <c r="P145" s="3"/>
      <c r="Q145" s="4"/>
      <c r="R145" s="2"/>
      <c r="S145" s="1"/>
      <c r="T145" s="3"/>
      <c r="W145" s="1"/>
      <c r="X145" s="3"/>
      <c r="AE145" s="1"/>
    </row>
    <row r="146" spans="13:31">
      <c r="M146" s="18"/>
      <c r="N146" s="18"/>
      <c r="O146" s="1"/>
      <c r="P146" s="3"/>
      <c r="Q146" s="4"/>
      <c r="R146" s="2"/>
      <c r="S146" s="1"/>
      <c r="T146" s="3"/>
      <c r="W146" s="1"/>
      <c r="X146" s="3"/>
      <c r="AE146" s="1"/>
    </row>
    <row r="147" spans="13:35">
      <c r="M147" s="18"/>
      <c r="R147" s="1"/>
      <c r="S147" s="3"/>
      <c r="AE147" s="1"/>
      <c r="AI147" s="18"/>
    </row>
    <row r="148" spans="18:35">
      <c r="R148" s="1"/>
      <c r="S148" s="3"/>
      <c r="AE148" s="1"/>
      <c r="AI148" s="80"/>
    </row>
    <row r="149" spans="1:35">
      <c r="A149" s="189"/>
      <c r="R149" s="1"/>
      <c r="S149" s="3"/>
      <c r="AE149" s="1"/>
      <c r="AI149" s="80"/>
    </row>
    <row r="150" spans="18:35">
      <c r="R150" s="1"/>
      <c r="S150" s="3"/>
      <c r="AE150" s="1"/>
      <c r="AI150" s="80"/>
    </row>
    <row r="151" spans="18:35">
      <c r="R151" s="1"/>
      <c r="S151" s="3"/>
      <c r="AE151" s="1"/>
      <c r="AI151" s="18"/>
    </row>
    <row r="152" spans="18:31">
      <c r="R152" s="1"/>
      <c r="S152" s="3"/>
      <c r="AE152" s="1"/>
    </row>
    <row r="153" spans="18:31">
      <c r="R153" s="1"/>
      <c r="S153" s="3"/>
      <c r="AE153" s="1"/>
    </row>
    <row r="154" spans="18:31">
      <c r="R154" s="1"/>
      <c r="S154" s="3"/>
      <c r="AE154" s="1"/>
    </row>
    <row r="155" spans="18:31">
      <c r="R155" s="1"/>
      <c r="S155" s="3"/>
      <c r="AE155" s="1"/>
    </row>
    <row r="156" spans="18:31">
      <c r="R156" s="1"/>
      <c r="S156" s="3"/>
      <c r="AE156" s="1"/>
    </row>
    <row r="157" spans="18:31">
      <c r="R157" s="1"/>
      <c r="S157" s="3"/>
      <c r="AE157" s="1"/>
    </row>
    <row r="158" spans="18:31">
      <c r="R158" s="1"/>
      <c r="S158" s="3"/>
      <c r="AE158" s="1"/>
    </row>
    <row r="159" spans="18:31">
      <c r="R159" s="1"/>
      <c r="S159" s="3"/>
      <c r="AE159" s="1"/>
    </row>
    <row r="160" spans="18:31">
      <c r="R160" s="1"/>
      <c r="S160" s="3"/>
      <c r="AE160" s="1"/>
    </row>
    <row r="161" spans="18:31">
      <c r="R161" s="1"/>
      <c r="S161" s="3"/>
      <c r="AE161" s="1"/>
    </row>
    <row r="162" spans="18:31">
      <c r="R162" s="1"/>
      <c r="S162" s="3"/>
      <c r="AE162" s="1"/>
    </row>
    <row r="163" spans="18:31">
      <c r="R163" s="1"/>
      <c r="S163" s="3"/>
      <c r="AE163" s="1"/>
    </row>
    <row r="164" spans="18:31">
      <c r="R164" s="1"/>
      <c r="S164" s="3"/>
      <c r="AE164" s="1"/>
    </row>
    <row r="165" spans="18:31">
      <c r="R165" s="1"/>
      <c r="S165" s="3"/>
      <c r="AE165" s="1"/>
    </row>
    <row r="166" spans="18:31">
      <c r="R166" s="1"/>
      <c r="S166" s="3"/>
      <c r="AE166" s="1"/>
    </row>
    <row r="167" spans="18:31">
      <c r="R167" s="1"/>
      <c r="S167" s="3"/>
      <c r="AE167" s="1"/>
    </row>
    <row r="168" spans="18:31">
      <c r="R168" s="1"/>
      <c r="S168" s="3"/>
      <c r="AE168" s="1"/>
    </row>
    <row r="169" spans="18:31">
      <c r="R169" s="1"/>
      <c r="S169" s="3"/>
      <c r="AE169" s="1"/>
    </row>
    <row r="170" spans="18:31">
      <c r="R170" s="1"/>
      <c r="S170" s="3"/>
      <c r="AE170" s="1"/>
    </row>
    <row r="171" spans="18:31">
      <c r="R171" s="1"/>
      <c r="S171" s="3"/>
      <c r="AE171" s="1"/>
    </row>
    <row r="172" spans="18:31">
      <c r="R172" s="1"/>
      <c r="S172" s="3"/>
      <c r="AE172" s="1"/>
    </row>
    <row r="173" spans="18:31">
      <c r="R173" s="1"/>
      <c r="S173" s="3"/>
      <c r="AE173" s="1"/>
    </row>
    <row r="174" spans="18:31">
      <c r="R174" s="1"/>
      <c r="S174" s="3"/>
      <c r="AE174" s="1"/>
    </row>
    <row r="175" spans="18:31">
      <c r="R175" s="1"/>
      <c r="S175" s="3"/>
      <c r="AE175" s="1"/>
    </row>
    <row r="176" spans="18:31">
      <c r="R176" s="1"/>
      <c r="S176" s="3"/>
      <c r="AE176" s="1"/>
    </row>
    <row r="177" spans="18:31">
      <c r="R177" s="1"/>
      <c r="S177" s="3"/>
      <c r="AE177" s="1"/>
    </row>
    <row r="178" spans="18:31">
      <c r="R178" s="1"/>
      <c r="S178" s="3"/>
      <c r="AE178" s="1"/>
    </row>
    <row r="179" spans="18:31">
      <c r="R179" s="1"/>
      <c r="S179" s="3"/>
      <c r="AE179" s="1"/>
    </row>
    <row r="180" spans="18:31">
      <c r="R180" s="1"/>
      <c r="S180" s="3"/>
      <c r="AE180" s="1"/>
    </row>
    <row r="181" spans="18:31">
      <c r="R181" s="1"/>
      <c r="S181" s="3"/>
      <c r="AE181" s="1"/>
    </row>
    <row r="182" spans="18:31">
      <c r="R182" s="1"/>
      <c r="S182" s="3"/>
      <c r="AE182" s="1"/>
    </row>
    <row r="183" spans="18:31">
      <c r="R183" s="1"/>
      <c r="S183" s="3"/>
      <c r="AE183" s="1"/>
    </row>
    <row r="184" spans="18:31">
      <c r="R184" s="1"/>
      <c r="S184" s="3"/>
      <c r="AE184" s="1"/>
    </row>
    <row r="185" spans="18:31">
      <c r="R185" s="1"/>
      <c r="S185" s="3"/>
      <c r="AE185" s="1"/>
    </row>
    <row r="186" spans="18:31">
      <c r="R186" s="1"/>
      <c r="S186" s="3"/>
      <c r="AE186" s="1"/>
    </row>
    <row r="187" spans="18:31">
      <c r="R187" s="1"/>
      <c r="S187" s="3"/>
      <c r="AE187" s="1"/>
    </row>
    <row r="188" spans="18:31">
      <c r="R188" s="1"/>
      <c r="S188" s="3"/>
      <c r="AE188" s="1"/>
    </row>
    <row r="189" spans="18:31">
      <c r="R189" s="1"/>
      <c r="S189" s="3"/>
      <c r="AE189" s="1"/>
    </row>
    <row r="190" spans="18:31">
      <c r="R190" s="1"/>
      <c r="S190" s="3"/>
      <c r="AE190" s="1"/>
    </row>
    <row r="191" spans="18:31">
      <c r="R191" s="1"/>
      <c r="S191" s="3"/>
      <c r="AE191" s="1"/>
    </row>
    <row r="192" spans="18:31">
      <c r="R192" s="1"/>
      <c r="S192" s="3"/>
      <c r="AE192" s="1"/>
    </row>
    <row r="193" spans="18:31">
      <c r="R193" s="1"/>
      <c r="S193" s="3"/>
      <c r="AE193" s="1"/>
    </row>
    <row r="194" spans="18:31">
      <c r="R194" s="1"/>
      <c r="S194" s="3"/>
      <c r="AE194" s="1"/>
    </row>
    <row r="195" spans="18:31">
      <c r="R195" s="1"/>
      <c r="S195" s="3"/>
      <c r="AE195" s="1"/>
    </row>
    <row r="196" spans="18:31">
      <c r="R196" s="1"/>
      <c r="S196" s="3"/>
      <c r="AE196" s="1"/>
    </row>
    <row r="197" spans="18:31">
      <c r="R197" s="1"/>
      <c r="S197" s="3"/>
      <c r="AE197" s="1"/>
    </row>
    <row r="198" spans="18:31">
      <c r="R198" s="1"/>
      <c r="S198" s="3"/>
      <c r="AE198" s="1"/>
    </row>
    <row r="199" spans="18:31">
      <c r="R199" s="1"/>
      <c r="S199" s="3"/>
      <c r="AE199" s="1"/>
    </row>
    <row r="200" spans="18:31">
      <c r="R200" s="1"/>
      <c r="S200" s="3"/>
      <c r="AE200" s="1"/>
    </row>
    <row r="201" spans="18:31">
      <c r="R201" s="1"/>
      <c r="S201" s="3"/>
      <c r="AE201" s="1"/>
    </row>
    <row r="202" spans="18:31">
      <c r="R202" s="1"/>
      <c r="S202" s="3"/>
      <c r="AE202" s="1"/>
    </row>
    <row r="203" spans="18:31">
      <c r="R203" s="1"/>
      <c r="S203" s="3"/>
      <c r="AE203" s="1"/>
    </row>
    <row r="204" spans="18:31">
      <c r="R204" s="1"/>
      <c r="S204" s="3"/>
      <c r="AE204" s="1"/>
    </row>
    <row r="205" spans="18:31">
      <c r="R205" s="1"/>
      <c r="S205" s="3"/>
      <c r="AE205" s="1"/>
    </row>
    <row r="206" spans="18:31">
      <c r="R206" s="1"/>
      <c r="S206" s="3"/>
      <c r="AE206" s="1"/>
    </row>
    <row r="207" spans="18:31">
      <c r="R207" s="1"/>
      <c r="S207" s="3"/>
      <c r="AE207" s="1"/>
    </row>
    <row r="208" spans="18:31">
      <c r="R208" s="1"/>
      <c r="S208" s="3"/>
      <c r="AE208" s="1"/>
    </row>
    <row r="209" spans="18:31">
      <c r="R209" s="1"/>
      <c r="S209" s="3"/>
      <c r="AE209" s="1"/>
    </row>
    <row r="210" spans="18:31">
      <c r="R210" s="1"/>
      <c r="S210" s="3"/>
      <c r="AE210" s="1"/>
    </row>
    <row r="211" spans="18:31">
      <c r="R211" s="1"/>
      <c r="S211" s="3"/>
      <c r="AE211" s="1"/>
    </row>
    <row r="212" spans="18:31">
      <c r="R212" s="1"/>
      <c r="S212" s="3"/>
      <c r="AE212" s="1"/>
    </row>
    <row r="213" spans="18:31">
      <c r="R213" s="1"/>
      <c r="S213" s="3"/>
      <c r="AE213" s="1"/>
    </row>
    <row r="214" spans="18:31">
      <c r="R214" s="1"/>
      <c r="S214" s="3"/>
      <c r="AE214" s="1"/>
    </row>
    <row r="215" spans="18:31">
      <c r="R215" s="1"/>
      <c r="S215" s="3"/>
      <c r="AE215" s="1"/>
    </row>
    <row r="216" spans="18:31">
      <c r="R216" s="1"/>
      <c r="S216" s="3"/>
      <c r="AE216" s="1"/>
    </row>
    <row r="217" spans="18:31">
      <c r="R217" s="1"/>
      <c r="S217" s="3"/>
      <c r="AE217" s="1"/>
    </row>
    <row r="218" spans="18:31">
      <c r="R218" s="1"/>
      <c r="S218" s="3"/>
      <c r="AE218" s="1"/>
    </row>
    <row r="219" spans="18:31">
      <c r="R219" s="1"/>
      <c r="S219" s="3"/>
      <c r="AE219" s="1"/>
    </row>
    <row r="220" spans="18:31">
      <c r="R220" s="1"/>
      <c r="S220" s="3"/>
      <c r="AE220" s="1"/>
    </row>
    <row r="221" spans="18:31">
      <c r="R221" s="1"/>
      <c r="S221" s="3"/>
      <c r="AE221" s="1"/>
    </row>
    <row r="222" spans="18:31">
      <c r="R222" s="1"/>
      <c r="S222" s="3"/>
      <c r="AE222" s="1"/>
    </row>
    <row r="223" spans="18:31">
      <c r="R223" s="1"/>
      <c r="S223" s="3"/>
      <c r="AE223" s="1"/>
    </row>
    <row r="224" spans="18:31">
      <c r="R224" s="1"/>
      <c r="S224" s="3"/>
      <c r="AE224" s="1"/>
    </row>
    <row r="225" spans="18:31">
      <c r="R225" s="1"/>
      <c r="S225" s="3"/>
      <c r="AE225" s="1"/>
    </row>
    <row r="226" spans="18:31">
      <c r="R226" s="1"/>
      <c r="S226" s="3"/>
      <c r="AE226" s="1"/>
    </row>
    <row r="227" spans="18:31">
      <c r="R227" s="1"/>
      <c r="S227" s="3"/>
      <c r="AE227" s="1"/>
    </row>
    <row r="228" spans="18:31">
      <c r="R228" s="1"/>
      <c r="S228" s="3"/>
      <c r="W228" s="6"/>
      <c r="AE228" s="1"/>
    </row>
    <row r="229" spans="18:31">
      <c r="R229" s="1"/>
      <c r="S229" s="3"/>
      <c r="W229" s="6"/>
      <c r="AE229" s="1"/>
    </row>
    <row r="230" spans="18:31">
      <c r="R230" s="1"/>
      <c r="S230" s="3"/>
      <c r="W230" s="6"/>
      <c r="AE230" s="1"/>
    </row>
    <row r="231" spans="18:31">
      <c r="R231" s="1"/>
      <c r="S231" s="3"/>
      <c r="W231" s="6"/>
      <c r="AE231" s="1"/>
    </row>
    <row r="232" spans="18:31">
      <c r="R232" s="1"/>
      <c r="S232" s="3"/>
      <c r="W232" s="6"/>
      <c r="AE232" s="1"/>
    </row>
    <row r="233" spans="18:31">
      <c r="R233" s="1"/>
      <c r="S233" s="3"/>
      <c r="W233" s="6"/>
      <c r="AE233" s="1"/>
    </row>
    <row r="234" spans="18:31">
      <c r="R234" s="1"/>
      <c r="S234" s="3"/>
      <c r="W234" s="6"/>
      <c r="AE234" s="1"/>
    </row>
    <row r="235" spans="18:31">
      <c r="R235" s="1"/>
      <c r="S235" s="3"/>
      <c r="W235" s="6"/>
      <c r="AE235" s="1"/>
    </row>
    <row r="236" spans="18:31">
      <c r="R236" s="1"/>
      <c r="S236" s="3"/>
      <c r="W236" s="6"/>
      <c r="AE236" s="1"/>
    </row>
    <row r="237" spans="18:31">
      <c r="R237" s="1"/>
      <c r="S237" s="3"/>
      <c r="W237" s="6"/>
      <c r="AE237" s="1"/>
    </row>
    <row r="238" spans="18:31">
      <c r="R238" s="1"/>
      <c r="S238" s="3"/>
      <c r="W238" s="6"/>
      <c r="AE238" s="1"/>
    </row>
    <row r="239" spans="18:31">
      <c r="R239" s="1"/>
      <c r="S239" s="3"/>
      <c r="W239" s="6"/>
      <c r="AE239" s="1"/>
    </row>
    <row r="240" spans="16:31">
      <c r="P240" s="28"/>
      <c r="Q240" s="19"/>
      <c r="R240" s="1"/>
      <c r="S240" s="3"/>
      <c r="W240" s="6"/>
      <c r="AE240" s="1"/>
    </row>
    <row r="241" spans="16:31">
      <c r="P241" s="28"/>
      <c r="Q241" s="19"/>
      <c r="R241" s="1"/>
      <c r="S241" s="3"/>
      <c r="W241" s="6"/>
      <c r="AE241" s="1"/>
    </row>
    <row r="242" spans="16:31">
      <c r="P242" s="28"/>
      <c r="Q242" s="19"/>
      <c r="R242" s="1"/>
      <c r="S242" s="3"/>
      <c r="W242" s="6"/>
      <c r="AE242" s="1"/>
    </row>
    <row r="243" spans="16:31">
      <c r="P243" s="28"/>
      <c r="Q243" s="19"/>
      <c r="R243" s="1"/>
      <c r="S243" s="3"/>
      <c r="W243" s="6"/>
      <c r="AE243" s="1"/>
    </row>
    <row r="244" spans="16:31">
      <c r="P244" s="28"/>
      <c r="Q244" s="19"/>
      <c r="R244" s="1"/>
      <c r="S244" s="3"/>
      <c r="W244" s="6"/>
      <c r="AE244" s="1"/>
    </row>
    <row r="245" spans="16:31">
      <c r="P245" s="28"/>
      <c r="Q245" s="19"/>
      <c r="R245" s="1"/>
      <c r="S245" s="3"/>
      <c r="W245" s="6"/>
      <c r="AE245" s="1"/>
    </row>
    <row r="246" spans="16:31">
      <c r="P246" s="28"/>
      <c r="Q246" s="19"/>
      <c r="R246" s="1"/>
      <c r="S246" s="3"/>
      <c r="W246" s="6"/>
      <c r="AE246" s="1"/>
    </row>
    <row r="247" spans="16:31">
      <c r="P247" s="28"/>
      <c r="Q247" s="19"/>
      <c r="R247" s="1"/>
      <c r="S247" s="3"/>
      <c r="W247" s="6"/>
      <c r="AE247" s="1"/>
    </row>
    <row r="248" spans="16:31">
      <c r="P248" s="28"/>
      <c r="Q248" s="19"/>
      <c r="R248" s="1"/>
      <c r="S248" s="3"/>
      <c r="W248" s="6"/>
      <c r="AE248" s="1"/>
    </row>
    <row r="249" spans="16:31">
      <c r="P249" s="28"/>
      <c r="Q249" s="19"/>
      <c r="R249" s="1"/>
      <c r="S249" s="3"/>
      <c r="W249" s="6"/>
      <c r="AE249" s="1"/>
    </row>
    <row r="250" spans="16:31">
      <c r="P250" s="28"/>
      <c r="Q250" s="19"/>
      <c r="R250" s="1"/>
      <c r="S250" s="3"/>
      <c r="W250" s="6"/>
      <c r="AE250" s="1"/>
    </row>
    <row r="251" spans="16:31">
      <c r="P251" s="28"/>
      <c r="Q251" s="19"/>
      <c r="R251" s="1"/>
      <c r="S251" s="3"/>
      <c r="W251" s="6"/>
      <c r="AE251" s="1"/>
    </row>
    <row r="252" spans="16:31">
      <c r="P252" s="28"/>
      <c r="Q252" s="19"/>
      <c r="R252" s="1"/>
      <c r="S252" s="3"/>
      <c r="W252" s="6"/>
      <c r="AE252" s="1"/>
    </row>
    <row r="253" spans="16:31">
      <c r="P253" s="28"/>
      <c r="Q253" s="19"/>
      <c r="R253" s="1"/>
      <c r="S253" s="3"/>
      <c r="W253" s="6"/>
      <c r="AE253" s="1"/>
    </row>
    <row r="254" spans="16:31">
      <c r="P254" s="28"/>
      <c r="Q254" s="19"/>
      <c r="R254" s="1"/>
      <c r="S254" s="3"/>
      <c r="W254" s="6"/>
      <c r="AE254" s="1"/>
    </row>
    <row r="255" spans="16:31">
      <c r="P255" s="28"/>
      <c r="Q255" s="19"/>
      <c r="R255" s="1"/>
      <c r="S255" s="3"/>
      <c r="W255" s="6"/>
      <c r="AE255" s="1"/>
    </row>
    <row r="256" spans="16:31">
      <c r="P256" s="28"/>
      <c r="Q256" s="19"/>
      <c r="R256" s="1"/>
      <c r="S256" s="3"/>
      <c r="W256" s="6"/>
      <c r="AE256" s="1"/>
    </row>
    <row r="257" spans="16:31">
      <c r="P257" s="28"/>
      <c r="Q257" s="19"/>
      <c r="R257" s="1"/>
      <c r="S257" s="3"/>
      <c r="W257" s="6"/>
      <c r="AE257" s="1"/>
    </row>
    <row r="258" spans="16:31">
      <c r="P258" s="28"/>
      <c r="Q258" s="19"/>
      <c r="R258" s="1"/>
      <c r="S258" s="3"/>
      <c r="W258" s="6"/>
      <c r="AE258" s="1"/>
    </row>
    <row r="259" spans="16:31">
      <c r="P259" s="28"/>
      <c r="Q259" s="19"/>
      <c r="R259" s="1"/>
      <c r="S259" s="3"/>
      <c r="W259" s="6"/>
      <c r="AE259" s="1"/>
    </row>
    <row r="260" spans="16:31">
      <c r="P260" s="28"/>
      <c r="Q260" s="19"/>
      <c r="R260" s="1"/>
      <c r="S260" s="3"/>
      <c r="W260" s="6"/>
      <c r="AE260" s="1"/>
    </row>
    <row r="261" spans="16:31">
      <c r="P261" s="28"/>
      <c r="Q261" s="19"/>
      <c r="R261" s="1"/>
      <c r="S261" s="3"/>
      <c r="W261" s="6"/>
      <c r="AE261" s="1"/>
    </row>
    <row r="262" spans="16:31">
      <c r="P262" s="28"/>
      <c r="Q262" s="19"/>
      <c r="R262" s="1"/>
      <c r="S262" s="3"/>
      <c r="W262" s="6"/>
      <c r="AE262" s="1"/>
    </row>
    <row r="263" spans="16:31">
      <c r="P263" s="28"/>
      <c r="Q263" s="19"/>
      <c r="R263" s="1"/>
      <c r="S263" s="3"/>
      <c r="W263" s="6"/>
      <c r="AE263" s="1"/>
    </row>
    <row r="264" spans="16:31">
      <c r="P264" s="28"/>
      <c r="Q264" s="19"/>
      <c r="R264" s="1"/>
      <c r="S264" s="3"/>
      <c r="W264" s="6"/>
      <c r="AE264" s="1"/>
    </row>
    <row r="265" spans="16:31">
      <c r="P265" s="28"/>
      <c r="Q265" s="19"/>
      <c r="R265" s="1"/>
      <c r="S265" s="3"/>
      <c r="W265" s="6"/>
      <c r="AE265" s="1"/>
    </row>
    <row r="266" spans="16:31">
      <c r="P266" s="28"/>
      <c r="Q266" s="19"/>
      <c r="R266" s="1"/>
      <c r="S266" s="3"/>
      <c r="W266" s="6"/>
      <c r="AE266" s="1"/>
    </row>
    <row r="267" spans="16:31">
      <c r="P267" s="28"/>
      <c r="Q267" s="19"/>
      <c r="R267" s="1"/>
      <c r="S267" s="3"/>
      <c r="W267" s="6"/>
      <c r="AE267" s="1"/>
    </row>
    <row r="268" spans="16:31">
      <c r="P268" s="28"/>
      <c r="Q268" s="19"/>
      <c r="R268" s="1"/>
      <c r="S268" s="3"/>
      <c r="W268" s="6"/>
      <c r="AE268" s="1"/>
    </row>
    <row r="269" spans="16:31">
      <c r="P269" s="28"/>
      <c r="Q269" s="19"/>
      <c r="R269" s="1"/>
      <c r="S269" s="3"/>
      <c r="W269" s="6"/>
      <c r="AE269" s="1"/>
    </row>
    <row r="270" spans="16:31">
      <c r="P270" s="28"/>
      <c r="Q270" s="19"/>
      <c r="R270" s="1"/>
      <c r="S270" s="3"/>
      <c r="W270" s="6"/>
      <c r="AE270" s="1"/>
    </row>
    <row r="271" spans="16:31">
      <c r="P271" s="28"/>
      <c r="Q271" s="19"/>
      <c r="R271" s="1"/>
      <c r="S271" s="3"/>
      <c r="W271" s="6"/>
      <c r="AE271" s="1"/>
    </row>
    <row r="272" spans="16:31">
      <c r="P272" s="28"/>
      <c r="Q272" s="19"/>
      <c r="R272" s="1"/>
      <c r="S272" s="3"/>
      <c r="W272" s="6"/>
      <c r="AE272" s="1"/>
    </row>
    <row r="273" spans="16:31">
      <c r="P273" s="28"/>
      <c r="Q273" s="19"/>
      <c r="R273" s="1"/>
      <c r="S273" s="3"/>
      <c r="W273" s="6"/>
      <c r="AE273" s="1"/>
    </row>
    <row r="274" spans="16:31">
      <c r="P274" s="28"/>
      <c r="Q274" s="19"/>
      <c r="R274" s="1"/>
      <c r="S274" s="3"/>
      <c r="W274" s="6"/>
      <c r="AE274" s="1"/>
    </row>
    <row r="275" spans="16:31">
      <c r="P275" s="28"/>
      <c r="Q275" s="19"/>
      <c r="R275" s="1"/>
      <c r="S275" s="3"/>
      <c r="W275" s="6"/>
      <c r="AE275" s="1"/>
    </row>
    <row r="276" spans="16:31">
      <c r="P276" s="28"/>
      <c r="Q276" s="19"/>
      <c r="R276" s="1"/>
      <c r="S276" s="3"/>
      <c r="W276" s="6"/>
      <c r="AE276" s="1"/>
    </row>
    <row r="277" spans="16:31">
      <c r="P277" s="28"/>
      <c r="Q277" s="19"/>
      <c r="R277" s="1"/>
      <c r="S277" s="3"/>
      <c r="W277" s="6"/>
      <c r="AE277" s="1"/>
    </row>
    <row r="278" spans="16:31">
      <c r="P278" s="28"/>
      <c r="Q278" s="19"/>
      <c r="R278" s="1"/>
      <c r="S278" s="3"/>
      <c r="W278" s="6"/>
      <c r="AE278" s="1"/>
    </row>
    <row r="279" spans="16:31">
      <c r="P279" s="28"/>
      <c r="Q279" s="19"/>
      <c r="R279" s="1"/>
      <c r="S279" s="3"/>
      <c r="W279" s="6"/>
      <c r="AE279" s="1"/>
    </row>
    <row r="280" spans="16:31">
      <c r="P280" s="28"/>
      <c r="Q280" s="19"/>
      <c r="R280" s="1"/>
      <c r="S280" s="3"/>
      <c r="W280" s="6"/>
      <c r="AE280" s="1"/>
    </row>
    <row r="281" spans="16:31">
      <c r="P281" s="28"/>
      <c r="Q281" s="19"/>
      <c r="R281" s="1"/>
      <c r="S281" s="3"/>
      <c r="W281" s="6"/>
      <c r="AE281" s="1"/>
    </row>
    <row r="282" spans="16:31">
      <c r="P282" s="28"/>
      <c r="Q282" s="19"/>
      <c r="R282" s="1"/>
      <c r="S282" s="3"/>
      <c r="W282" s="6"/>
      <c r="AE282" s="1"/>
    </row>
    <row r="283" spans="16:31">
      <c r="P283" s="28"/>
      <c r="Q283" s="19"/>
      <c r="R283" s="1"/>
      <c r="S283" s="3"/>
      <c r="W283" s="6"/>
      <c r="AE283" s="1"/>
    </row>
    <row r="284" spans="16:31">
      <c r="P284" s="28"/>
      <c r="Q284" s="19"/>
      <c r="R284" s="1"/>
      <c r="S284" s="3"/>
      <c r="W284" s="6"/>
      <c r="AE284" s="1"/>
    </row>
    <row r="285" spans="16:31">
      <c r="P285" s="28"/>
      <c r="Q285" s="19"/>
      <c r="R285" s="1"/>
      <c r="S285" s="157"/>
      <c r="T285" s="18"/>
      <c r="U285" s="18"/>
      <c r="W285" s="6"/>
      <c r="AE285" s="1"/>
    </row>
    <row r="286" spans="16:31">
      <c r="P286" s="28"/>
      <c r="Q286" s="19"/>
      <c r="R286" s="1"/>
      <c r="S286" s="157"/>
      <c r="T286" s="18"/>
      <c r="U286" s="18"/>
      <c r="W286" s="6"/>
      <c r="AE286" s="1"/>
    </row>
    <row r="287" spans="16:31">
      <c r="P287" s="28"/>
      <c r="Q287" s="19"/>
      <c r="R287" s="1"/>
      <c r="S287" s="157"/>
      <c r="T287" s="18"/>
      <c r="U287" s="18"/>
      <c r="W287" s="6"/>
      <c r="AE287" s="1"/>
    </row>
    <row r="288" spans="16:31">
      <c r="P288" s="28"/>
      <c r="Q288" s="19"/>
      <c r="R288" s="1"/>
      <c r="S288" s="157"/>
      <c r="T288" s="18"/>
      <c r="U288" s="18"/>
      <c r="W288" s="6"/>
      <c r="AE288" s="1"/>
    </row>
    <row r="289" spans="16:31">
      <c r="P289" s="28"/>
      <c r="Q289" s="19"/>
      <c r="R289" s="1"/>
      <c r="S289" s="157"/>
      <c r="T289" s="18"/>
      <c r="U289" s="18"/>
      <c r="W289" s="6"/>
      <c r="AE289" s="1"/>
    </row>
    <row r="290" spans="16:31">
      <c r="P290" s="28"/>
      <c r="Q290" s="19"/>
      <c r="R290" s="1"/>
      <c r="S290" s="157"/>
      <c r="T290" s="18"/>
      <c r="U290" s="18"/>
      <c r="W290" s="6"/>
      <c r="AE290" s="1"/>
    </row>
    <row r="291" spans="16:31">
      <c r="P291" s="28"/>
      <c r="Q291" s="19"/>
      <c r="R291" s="1"/>
      <c r="S291" s="157"/>
      <c r="T291" s="18"/>
      <c r="U291" s="18"/>
      <c r="W291" s="6"/>
      <c r="AE291" s="1"/>
    </row>
    <row r="292" spans="16:31">
      <c r="P292" s="28"/>
      <c r="Q292" s="19"/>
      <c r="R292" s="1"/>
      <c r="S292" s="157"/>
      <c r="T292" s="80"/>
      <c r="U292" s="56"/>
      <c r="W292" s="6"/>
      <c r="AE292" s="1"/>
    </row>
    <row r="293" spans="16:31">
      <c r="P293" s="28"/>
      <c r="Q293" s="19"/>
      <c r="R293" s="1"/>
      <c r="S293" s="157"/>
      <c r="T293" s="80"/>
      <c r="U293" s="56"/>
      <c r="W293" s="6"/>
      <c r="AE293" s="1"/>
    </row>
    <row r="294" spans="16:31">
      <c r="P294" s="28"/>
      <c r="Q294" s="19"/>
      <c r="R294" s="1"/>
      <c r="S294" s="157"/>
      <c r="T294" s="80"/>
      <c r="U294" s="80"/>
      <c r="W294" s="6"/>
      <c r="AE294" s="1"/>
    </row>
    <row r="295" spans="16:31">
      <c r="P295" s="28"/>
      <c r="Q295" s="19"/>
      <c r="R295" s="1"/>
      <c r="S295" s="157"/>
      <c r="T295" s="80"/>
      <c r="U295" s="80"/>
      <c r="W295" s="6"/>
      <c r="AE295" s="1"/>
    </row>
    <row r="296" spans="16:31">
      <c r="P296" s="28"/>
      <c r="Q296" s="19"/>
      <c r="R296" s="1"/>
      <c r="S296" s="157"/>
      <c r="T296" s="80"/>
      <c r="U296" s="80"/>
      <c r="W296" s="6"/>
      <c r="AE296" s="1"/>
    </row>
    <row r="297" spans="16:31">
      <c r="P297" s="28"/>
      <c r="Q297" s="19"/>
      <c r="R297" s="1"/>
      <c r="S297" s="157"/>
      <c r="T297" s="80"/>
      <c r="U297" s="80"/>
      <c r="W297" s="6"/>
      <c r="AE297" s="1"/>
    </row>
    <row r="298" spans="16:31">
      <c r="P298" s="28"/>
      <c r="Q298" s="19"/>
      <c r="R298" s="1"/>
      <c r="S298" s="157"/>
      <c r="T298" s="80"/>
      <c r="U298" s="80"/>
      <c r="W298" s="6"/>
      <c r="AE298" s="1"/>
    </row>
    <row r="299" spans="16:31">
      <c r="P299" s="28"/>
      <c r="Q299" s="19"/>
      <c r="R299" s="1"/>
      <c r="S299" s="157"/>
      <c r="T299" s="80"/>
      <c r="U299" s="80"/>
      <c r="W299" s="6"/>
      <c r="AE299" s="1"/>
    </row>
    <row r="300" spans="16:31">
      <c r="P300" s="28"/>
      <c r="Q300" s="19"/>
      <c r="R300" s="1"/>
      <c r="S300" s="157"/>
      <c r="T300" s="80"/>
      <c r="U300" s="80"/>
      <c r="W300" s="6"/>
      <c r="AE300" s="1"/>
    </row>
    <row r="301" spans="16:31">
      <c r="P301" s="28"/>
      <c r="Q301" s="19"/>
      <c r="R301" s="1"/>
      <c r="S301" s="157"/>
      <c r="T301" s="80"/>
      <c r="U301" s="80"/>
      <c r="W301" s="200"/>
      <c r="X301" s="18"/>
      <c r="Y301" s="18"/>
      <c r="AE301" s="1"/>
    </row>
    <row r="302" spans="16:31">
      <c r="P302" s="28"/>
      <c r="Q302" s="19"/>
      <c r="R302" s="1"/>
      <c r="S302" s="157"/>
      <c r="T302" s="80"/>
      <c r="U302" s="80"/>
      <c r="W302" s="200"/>
      <c r="X302" s="18"/>
      <c r="Y302" s="18"/>
      <c r="AE302" s="1"/>
    </row>
    <row r="303" spans="16:31">
      <c r="P303" s="28"/>
      <c r="Q303" s="19"/>
      <c r="R303" s="1"/>
      <c r="S303" s="157"/>
      <c r="T303" s="80"/>
      <c r="U303" s="80"/>
      <c r="W303" s="200"/>
      <c r="X303" s="18"/>
      <c r="Y303" s="18"/>
      <c r="AE303" s="1"/>
    </row>
    <row r="304" spans="16:31">
      <c r="P304" s="28"/>
      <c r="Q304" s="19"/>
      <c r="R304" s="1"/>
      <c r="S304" s="157"/>
      <c r="T304" s="80"/>
      <c r="U304" s="80"/>
      <c r="W304" s="200"/>
      <c r="X304" s="18"/>
      <c r="Y304" s="18"/>
      <c r="AE304" s="1"/>
    </row>
    <row r="305" spans="16:31">
      <c r="P305" s="28"/>
      <c r="Q305" s="19"/>
      <c r="R305" s="1"/>
      <c r="S305" s="157"/>
      <c r="T305" s="80"/>
      <c r="U305" s="68"/>
      <c r="W305" s="200"/>
      <c r="X305" s="18"/>
      <c r="Y305" s="18"/>
      <c r="AE305" s="1"/>
    </row>
    <row r="306" spans="16:31">
      <c r="P306" s="28"/>
      <c r="Q306" s="19"/>
      <c r="R306" s="1"/>
      <c r="S306" s="157"/>
      <c r="T306" s="80"/>
      <c r="U306" s="68"/>
      <c r="W306" s="200"/>
      <c r="X306" s="18"/>
      <c r="Y306" s="18"/>
      <c r="AE306" s="1"/>
    </row>
    <row r="307" spans="16:31">
      <c r="P307" s="28"/>
      <c r="Q307" s="19"/>
      <c r="R307" s="1"/>
      <c r="S307" s="157"/>
      <c r="T307" s="80"/>
      <c r="U307" s="80"/>
      <c r="W307" s="200"/>
      <c r="X307" s="18"/>
      <c r="Y307" s="18"/>
      <c r="AE307" s="1"/>
    </row>
    <row r="308" spans="16:31">
      <c r="P308" s="28"/>
      <c r="Q308" s="19"/>
      <c r="R308" s="1"/>
      <c r="S308" s="157"/>
      <c r="T308" s="80"/>
      <c r="U308" s="56"/>
      <c r="W308" s="200"/>
      <c r="X308" s="80"/>
      <c r="Y308" s="80"/>
      <c r="AE308" s="1"/>
    </row>
    <row r="309" spans="16:31">
      <c r="P309" s="28"/>
      <c r="Q309" s="19"/>
      <c r="R309" s="1"/>
      <c r="S309" s="157"/>
      <c r="T309" s="80"/>
      <c r="U309" s="80"/>
      <c r="W309" s="200"/>
      <c r="X309" s="80"/>
      <c r="Y309" s="80"/>
      <c r="AE309" s="1"/>
    </row>
    <row r="310" spans="16:31">
      <c r="P310" s="28"/>
      <c r="Q310" s="19"/>
      <c r="R310" s="1"/>
      <c r="S310" s="157"/>
      <c r="T310" s="80"/>
      <c r="U310" s="80"/>
      <c r="W310" s="200"/>
      <c r="X310" s="80"/>
      <c r="Y310" s="80"/>
      <c r="AE310" s="1"/>
    </row>
    <row r="311" spans="16:31">
      <c r="P311" s="28"/>
      <c r="Q311" s="19"/>
      <c r="R311" s="1"/>
      <c r="S311" s="157"/>
      <c r="T311" s="80"/>
      <c r="U311" s="80"/>
      <c r="W311" s="200"/>
      <c r="X311" s="80"/>
      <c r="Y311" s="80"/>
      <c r="AE311" s="1"/>
    </row>
    <row r="312" spans="16:31">
      <c r="P312" s="28"/>
      <c r="Q312" s="19"/>
      <c r="R312" s="1"/>
      <c r="S312" s="234"/>
      <c r="T312" s="80"/>
      <c r="U312" s="80"/>
      <c r="W312" s="200"/>
      <c r="X312" s="80"/>
      <c r="Y312" s="80"/>
      <c r="AE312" s="1"/>
    </row>
    <row r="313" spans="16:31">
      <c r="P313" s="28"/>
      <c r="Q313" s="19"/>
      <c r="R313" s="1"/>
      <c r="S313" s="234"/>
      <c r="T313" s="80"/>
      <c r="U313" s="80"/>
      <c r="W313" s="200"/>
      <c r="X313" s="80"/>
      <c r="Y313" s="80"/>
      <c r="AE313" s="1"/>
    </row>
    <row r="314" spans="16:31">
      <c r="P314" s="28"/>
      <c r="Q314" s="19"/>
      <c r="R314" s="1"/>
      <c r="S314" s="200"/>
      <c r="T314" s="18"/>
      <c r="U314" s="18"/>
      <c r="W314" s="200"/>
      <c r="X314" s="80"/>
      <c r="Y314" s="80"/>
      <c r="AE314" s="1"/>
    </row>
    <row r="315" spans="16:31">
      <c r="P315" s="28"/>
      <c r="Q315" s="19"/>
      <c r="R315" s="1"/>
      <c r="S315" s="200"/>
      <c r="T315" s="18"/>
      <c r="U315" s="18"/>
      <c r="W315" s="200"/>
      <c r="X315" s="80"/>
      <c r="Y315" s="80"/>
      <c r="AE315" s="1"/>
    </row>
    <row r="316" spans="16:31">
      <c r="P316" s="28"/>
      <c r="Q316" s="19"/>
      <c r="R316" s="1"/>
      <c r="S316" s="200"/>
      <c r="T316" s="18"/>
      <c r="U316" s="18"/>
      <c r="W316" s="200"/>
      <c r="X316" s="80"/>
      <c r="Y316" s="80"/>
      <c r="AE316" s="1"/>
    </row>
    <row r="317" spans="16:31">
      <c r="P317" s="28"/>
      <c r="Q317" s="19"/>
      <c r="R317" s="1"/>
      <c r="S317" s="200"/>
      <c r="T317" s="18"/>
      <c r="U317" s="18"/>
      <c r="V317" s="18"/>
      <c r="W317" s="200"/>
      <c r="X317" s="80"/>
      <c r="Y317" s="80"/>
      <c r="AE317" s="1"/>
    </row>
    <row r="318" spans="16:49">
      <c r="P318" s="28"/>
      <c r="Q318" s="19"/>
      <c r="R318" s="1"/>
      <c r="S318" s="200"/>
      <c r="T318" s="18"/>
      <c r="U318" s="18"/>
      <c r="V318" s="18"/>
      <c r="W318" s="200"/>
      <c r="X318" s="80"/>
      <c r="Y318" s="80"/>
      <c r="Z318" s="18"/>
      <c r="AA318" s="18"/>
      <c r="AC318" s="18"/>
      <c r="AD318" s="18"/>
      <c r="AE318" s="18"/>
      <c r="AF318" s="18"/>
      <c r="AG318" s="18"/>
      <c r="AH318" s="18"/>
      <c r="AI318" s="18"/>
      <c r="AJ318" s="18"/>
      <c r="AK318" s="18"/>
      <c r="AL318" s="18"/>
      <c r="AM318" s="18"/>
      <c r="AN318" s="18"/>
      <c r="AO318" s="18"/>
      <c r="AP318" s="18"/>
      <c r="AQ318" s="18"/>
      <c r="AR318" s="18"/>
      <c r="AS318" s="18"/>
      <c r="AT318" s="18"/>
      <c r="AU318" s="18"/>
      <c r="AV318" s="18"/>
      <c r="AW318" s="18"/>
    </row>
    <row r="319" spans="16:49">
      <c r="P319" s="28"/>
      <c r="Q319" s="19"/>
      <c r="R319" s="1"/>
      <c r="S319" s="200"/>
      <c r="T319" s="18"/>
      <c r="U319" s="18"/>
      <c r="V319" s="18"/>
      <c r="W319" s="200"/>
      <c r="X319" s="80"/>
      <c r="Y319" s="80"/>
      <c r="Z319" s="18"/>
      <c r="AA319" s="18"/>
      <c r="AB319" s="18"/>
      <c r="AC319" s="18"/>
      <c r="AD319" s="18"/>
      <c r="AE319" s="18"/>
      <c r="AF319" s="18"/>
      <c r="AG319" s="18"/>
      <c r="AH319" s="18"/>
      <c r="AI319" s="18"/>
      <c r="AJ319" s="18"/>
      <c r="AK319" s="18"/>
      <c r="AL319" s="18"/>
      <c r="AM319" s="18"/>
      <c r="AN319" s="18"/>
      <c r="AO319" s="18"/>
      <c r="AP319" s="18"/>
      <c r="AQ319" s="18"/>
      <c r="AR319" s="18"/>
      <c r="AS319" s="18"/>
      <c r="AT319" s="18"/>
      <c r="AU319" s="18"/>
      <c r="AV319" s="18"/>
      <c r="AW319" s="18"/>
    </row>
    <row r="320" spans="16:49">
      <c r="P320" s="28"/>
      <c r="Q320" s="19"/>
      <c r="R320" s="1"/>
      <c r="S320" s="200"/>
      <c r="T320" s="18"/>
      <c r="U320" s="18"/>
      <c r="V320" s="18"/>
      <c r="W320" s="200"/>
      <c r="X320" s="80"/>
      <c r="Y320" s="80"/>
      <c r="Z320" s="18"/>
      <c r="AA320" s="18"/>
      <c r="AB320" s="18"/>
      <c r="AC320" s="18"/>
      <c r="AD320" s="18"/>
      <c r="AE320" s="18"/>
      <c r="AF320" s="18"/>
      <c r="AG320" s="18"/>
      <c r="AH320" s="18"/>
      <c r="AI320" s="18"/>
      <c r="AJ320" s="18"/>
      <c r="AK320" s="18"/>
      <c r="AL320" s="18"/>
      <c r="AM320" s="18"/>
      <c r="AN320" s="18"/>
      <c r="AO320" s="18"/>
      <c r="AP320" s="18"/>
      <c r="AQ320" s="18"/>
      <c r="AR320" s="18"/>
      <c r="AS320" s="18"/>
      <c r="AT320" s="18"/>
      <c r="AU320" s="18"/>
      <c r="AV320" s="18"/>
      <c r="AW320" s="18"/>
    </row>
    <row r="321" spans="16:49">
      <c r="P321" s="28"/>
      <c r="Q321" s="19"/>
      <c r="R321" s="1"/>
      <c r="S321" s="200"/>
      <c r="T321" s="18"/>
      <c r="U321" s="18"/>
      <c r="V321" s="18"/>
      <c r="W321" s="200"/>
      <c r="X321" s="80"/>
      <c r="Y321" s="80"/>
      <c r="Z321" s="18"/>
      <c r="AA321" s="18"/>
      <c r="AB321" s="18"/>
      <c r="AC321" s="18"/>
      <c r="AD321" s="18"/>
      <c r="AE321" s="18"/>
      <c r="AF321" s="18"/>
      <c r="AG321" s="18"/>
      <c r="AH321" s="18"/>
      <c r="AI321" s="18"/>
      <c r="AJ321" s="18"/>
      <c r="AK321" s="18"/>
      <c r="AL321" s="18"/>
      <c r="AM321" s="18"/>
      <c r="AN321" s="18"/>
      <c r="AO321" s="18"/>
      <c r="AP321" s="18"/>
      <c r="AQ321" s="18"/>
      <c r="AR321" s="18"/>
      <c r="AS321" s="18"/>
      <c r="AT321" s="18"/>
      <c r="AU321" s="18"/>
      <c r="AV321" s="18"/>
      <c r="AW321" s="18"/>
    </row>
    <row r="322" spans="16:49">
      <c r="P322" s="28"/>
      <c r="Q322" s="19"/>
      <c r="R322" s="194"/>
      <c r="S322" s="200"/>
      <c r="T322" s="18"/>
      <c r="U322" s="18"/>
      <c r="V322" s="18"/>
      <c r="W322" s="200"/>
      <c r="X322" s="80"/>
      <c r="Y322" s="80"/>
      <c r="Z322" s="18"/>
      <c r="AA322" s="18"/>
      <c r="AB322" s="18"/>
      <c r="AC322" s="18"/>
      <c r="AD322" s="18"/>
      <c r="AE322" s="18"/>
      <c r="AF322" s="18"/>
      <c r="AG322" s="18"/>
      <c r="AH322" s="18"/>
      <c r="AI322" s="18"/>
      <c r="AJ322" s="18"/>
      <c r="AK322" s="18"/>
      <c r="AL322" s="18"/>
      <c r="AM322" s="18"/>
      <c r="AN322" s="18"/>
      <c r="AO322" s="18"/>
      <c r="AP322" s="18"/>
      <c r="AQ322" s="18"/>
      <c r="AR322" s="18"/>
      <c r="AS322" s="18"/>
      <c r="AT322" s="18"/>
      <c r="AU322" s="18"/>
      <c r="AV322" s="18"/>
      <c r="AW322" s="18"/>
    </row>
    <row r="323" spans="16:49">
      <c r="P323" s="28"/>
      <c r="Q323" s="19"/>
      <c r="R323" s="194"/>
      <c r="S323" s="200"/>
      <c r="T323" s="18"/>
      <c r="U323" s="18"/>
      <c r="V323" s="18"/>
      <c r="W323" s="200"/>
      <c r="X323" s="80"/>
      <c r="Y323" s="80"/>
      <c r="Z323" s="18"/>
      <c r="AA323" s="18"/>
      <c r="AB323" s="18"/>
      <c r="AC323" s="18"/>
      <c r="AD323" s="18"/>
      <c r="AE323" s="18"/>
      <c r="AF323" s="18"/>
      <c r="AG323" s="18"/>
      <c r="AH323" s="18"/>
      <c r="AI323" s="18"/>
      <c r="AJ323" s="18"/>
      <c r="AK323" s="18"/>
      <c r="AL323" s="18"/>
      <c r="AM323" s="18"/>
      <c r="AN323" s="18"/>
      <c r="AO323" s="18"/>
      <c r="AP323" s="18"/>
      <c r="AQ323" s="18"/>
      <c r="AR323" s="18"/>
      <c r="AS323" s="18"/>
      <c r="AT323" s="18"/>
      <c r="AU323" s="18"/>
      <c r="AV323" s="18"/>
      <c r="AW323" s="18"/>
    </row>
    <row r="324" spans="16:49">
      <c r="P324" s="28"/>
      <c r="Q324" s="19"/>
      <c r="R324" s="194"/>
      <c r="S324" s="200"/>
      <c r="T324" s="18"/>
      <c r="U324" s="18"/>
      <c r="V324" s="80"/>
      <c r="W324" s="200"/>
      <c r="X324" s="80"/>
      <c r="Y324" s="80"/>
      <c r="Z324" s="18"/>
      <c r="AA324" s="18"/>
      <c r="AB324" s="18"/>
      <c r="AC324" s="18"/>
      <c r="AD324" s="18"/>
      <c r="AE324" s="18"/>
      <c r="AF324" s="18"/>
      <c r="AG324" s="18"/>
      <c r="AH324" s="18"/>
      <c r="AI324" s="18"/>
      <c r="AJ324" s="18"/>
      <c r="AK324" s="18"/>
      <c r="AL324" s="18"/>
      <c r="AM324" s="18"/>
      <c r="AN324" s="18"/>
      <c r="AO324" s="18"/>
      <c r="AP324" s="18"/>
      <c r="AQ324" s="18"/>
      <c r="AR324" s="18"/>
      <c r="AS324" s="18"/>
      <c r="AT324" s="18"/>
      <c r="AU324" s="18"/>
      <c r="AV324" s="18"/>
      <c r="AW324" s="18"/>
    </row>
    <row r="325" spans="16:49">
      <c r="P325" s="28"/>
      <c r="Q325" s="19"/>
      <c r="R325" s="194"/>
      <c r="S325" s="200"/>
      <c r="T325" s="18"/>
      <c r="U325" s="18"/>
      <c r="V325" s="80"/>
      <c r="W325" s="200"/>
      <c r="X325" s="80"/>
      <c r="Y325" s="80"/>
      <c r="Z325" s="80"/>
      <c r="AA325" s="18"/>
      <c r="AB325" s="18"/>
      <c r="AC325" s="18"/>
      <c r="AD325" s="18"/>
      <c r="AE325" s="18"/>
      <c r="AF325" s="18"/>
      <c r="AG325" s="18"/>
      <c r="AH325" s="18"/>
      <c r="AI325" s="18"/>
      <c r="AJ325" s="18"/>
      <c r="AK325" s="18"/>
      <c r="AL325" s="18"/>
      <c r="AM325" s="18"/>
      <c r="AN325" s="18"/>
      <c r="AO325" s="18"/>
      <c r="AP325" s="18"/>
      <c r="AQ325" s="18"/>
      <c r="AR325" s="18"/>
      <c r="AS325" s="18"/>
      <c r="AT325" s="18"/>
      <c r="AU325" s="18"/>
      <c r="AV325" s="18"/>
      <c r="AW325" s="18"/>
    </row>
    <row r="326" spans="16:49">
      <c r="P326" s="28"/>
      <c r="Q326" s="19"/>
      <c r="R326" s="194"/>
      <c r="S326" s="200"/>
      <c r="T326" s="18"/>
      <c r="U326" s="18"/>
      <c r="V326" s="80"/>
      <c r="W326" s="200"/>
      <c r="X326" s="80"/>
      <c r="Y326" s="80"/>
      <c r="Z326" s="80"/>
      <c r="AA326" s="18"/>
      <c r="AB326" s="18"/>
      <c r="AC326" s="18"/>
      <c r="AD326" s="18"/>
      <c r="AE326" s="18"/>
      <c r="AF326" s="18"/>
      <c r="AG326" s="18"/>
      <c r="AH326" s="18"/>
      <c r="AI326" s="18"/>
      <c r="AJ326" s="18"/>
      <c r="AK326" s="18"/>
      <c r="AL326" s="18"/>
      <c r="AM326" s="18"/>
      <c r="AN326" s="18"/>
      <c r="AO326" s="18"/>
      <c r="AP326" s="18"/>
      <c r="AQ326" s="18"/>
      <c r="AR326" s="18"/>
      <c r="AS326" s="18"/>
      <c r="AT326" s="18"/>
      <c r="AU326" s="18"/>
      <c r="AV326" s="18"/>
      <c r="AW326" s="18"/>
    </row>
    <row r="327" spans="16:49">
      <c r="P327" s="28"/>
      <c r="Q327" s="19"/>
      <c r="R327" s="194"/>
      <c r="S327" s="200"/>
      <c r="T327" s="18"/>
      <c r="U327" s="18"/>
      <c r="V327" s="80"/>
      <c r="W327" s="200"/>
      <c r="X327" s="80"/>
      <c r="Y327" s="80"/>
      <c r="Z327" s="80"/>
      <c r="AA327" s="18"/>
      <c r="AB327" s="18"/>
      <c r="AC327" s="18"/>
      <c r="AD327" s="18"/>
      <c r="AE327" s="18"/>
      <c r="AF327" s="18"/>
      <c r="AG327" s="18"/>
      <c r="AH327" s="18"/>
      <c r="AI327" s="18"/>
      <c r="AJ327" s="18"/>
      <c r="AK327" s="18"/>
      <c r="AL327" s="18"/>
      <c r="AM327" s="18"/>
      <c r="AN327" s="18"/>
      <c r="AO327" s="18"/>
      <c r="AP327" s="18"/>
      <c r="AQ327" s="18"/>
      <c r="AR327" s="18"/>
      <c r="AS327" s="18"/>
      <c r="AT327" s="18"/>
      <c r="AU327" s="18"/>
      <c r="AV327" s="18"/>
      <c r="AW327" s="18"/>
    </row>
    <row r="328" spans="16:49">
      <c r="P328" s="28"/>
      <c r="Q328" s="19"/>
      <c r="R328" s="194"/>
      <c r="S328" s="200"/>
      <c r="T328" s="18"/>
      <c r="U328" s="18"/>
      <c r="V328" s="80"/>
      <c r="W328" s="200"/>
      <c r="X328" s="80"/>
      <c r="Y328" s="80"/>
      <c r="Z328" s="80"/>
      <c r="AA328" s="18"/>
      <c r="AB328" s="18"/>
      <c r="AC328" s="18"/>
      <c r="AD328" s="18"/>
      <c r="AE328" s="18"/>
      <c r="AF328" s="18"/>
      <c r="AG328" s="18"/>
      <c r="AH328" s="18"/>
      <c r="AI328" s="18"/>
      <c r="AJ328" s="18"/>
      <c r="AK328" s="18"/>
      <c r="AL328" s="18"/>
      <c r="AM328" s="18"/>
      <c r="AN328" s="18"/>
      <c r="AO328" s="18"/>
      <c r="AP328" s="18"/>
      <c r="AQ328" s="18"/>
      <c r="AR328" s="18"/>
      <c r="AS328" s="18"/>
      <c r="AT328" s="18"/>
      <c r="AU328" s="18"/>
      <c r="AV328" s="18"/>
      <c r="AW328" s="18"/>
    </row>
    <row r="329" spans="16:49">
      <c r="P329" s="28"/>
      <c r="Q329" s="19"/>
      <c r="R329" s="194"/>
      <c r="S329" s="200"/>
      <c r="T329" s="18"/>
      <c r="U329" s="18"/>
      <c r="V329" s="80"/>
      <c r="W329" s="200"/>
      <c r="X329" s="80"/>
      <c r="Y329" s="80"/>
      <c r="Z329" s="80"/>
      <c r="AA329" s="18"/>
      <c r="AB329" s="18"/>
      <c r="AC329" s="18"/>
      <c r="AD329" s="18"/>
      <c r="AE329" s="18"/>
      <c r="AF329" s="18"/>
      <c r="AG329" s="18"/>
      <c r="AH329" s="18"/>
      <c r="AI329" s="18"/>
      <c r="AJ329" s="18"/>
      <c r="AK329" s="18"/>
      <c r="AL329" s="18"/>
      <c r="AM329" s="18"/>
      <c r="AN329" s="18"/>
      <c r="AO329" s="18"/>
      <c r="AP329" s="18"/>
      <c r="AQ329" s="18"/>
      <c r="AR329" s="18"/>
      <c r="AS329" s="18"/>
      <c r="AT329" s="18"/>
      <c r="AU329" s="18"/>
      <c r="AV329" s="18"/>
      <c r="AW329" s="18"/>
    </row>
    <row r="330" spans="16:49">
      <c r="P330" s="28"/>
      <c r="Q330" s="19"/>
      <c r="R330" s="194"/>
      <c r="S330" s="200"/>
      <c r="T330" s="18"/>
      <c r="U330" s="18"/>
      <c r="V330" s="80"/>
      <c r="W330" s="157"/>
      <c r="X330" s="18"/>
      <c r="Y330" s="80"/>
      <c r="Z330" s="80"/>
      <c r="AA330" s="18"/>
      <c r="AB330" s="18"/>
      <c r="AC330" s="18"/>
      <c r="AD330" s="18"/>
      <c r="AE330" s="18"/>
      <c r="AF330" s="18"/>
      <c r="AG330" s="18"/>
      <c r="AH330" s="18"/>
      <c r="AI330" s="18"/>
      <c r="AJ330" s="18"/>
      <c r="AK330" s="18"/>
      <c r="AL330" s="18"/>
      <c r="AM330" s="18"/>
      <c r="AN330" s="18"/>
      <c r="AO330" s="18"/>
      <c r="AP330" s="18"/>
      <c r="AQ330" s="18"/>
      <c r="AR330" s="18"/>
      <c r="AS330" s="18"/>
      <c r="AT330" s="18"/>
      <c r="AU330" s="18"/>
      <c r="AV330" s="18"/>
      <c r="AW330" s="18"/>
    </row>
    <row r="331" spans="16:49">
      <c r="P331" s="28"/>
      <c r="Q331" s="19"/>
      <c r="R331" s="194"/>
      <c r="S331" s="200"/>
      <c r="T331" s="18"/>
      <c r="U331" s="18"/>
      <c r="V331" s="80"/>
      <c r="W331" s="157"/>
      <c r="X331" s="18"/>
      <c r="Y331" s="80"/>
      <c r="Z331" s="80"/>
      <c r="AA331" s="18"/>
      <c r="AB331" s="18"/>
      <c r="AC331" s="18"/>
      <c r="AD331" s="18"/>
      <c r="AE331" s="18"/>
      <c r="AF331" s="18"/>
      <c r="AG331" s="18"/>
      <c r="AH331" s="18"/>
      <c r="AI331" s="18"/>
      <c r="AJ331" s="18"/>
      <c r="AK331" s="18"/>
      <c r="AL331" s="18"/>
      <c r="AM331" s="18"/>
      <c r="AN331" s="18"/>
      <c r="AO331" s="18"/>
      <c r="AP331" s="18"/>
      <c r="AQ331" s="18"/>
      <c r="AR331" s="18"/>
      <c r="AS331" s="18"/>
      <c r="AT331" s="18"/>
      <c r="AU331" s="18"/>
      <c r="AV331" s="18"/>
      <c r="AW331" s="18"/>
    </row>
    <row r="332" spans="16:49">
      <c r="P332" s="28"/>
      <c r="Q332" s="19"/>
      <c r="R332" s="194"/>
      <c r="S332" s="200"/>
      <c r="T332" s="18"/>
      <c r="U332" s="18"/>
      <c r="V332" s="80"/>
      <c r="W332" s="157"/>
      <c r="X332" s="18"/>
      <c r="Y332" s="80"/>
      <c r="Z332" s="80"/>
      <c r="AA332" s="18"/>
      <c r="AB332" s="18"/>
      <c r="AC332" s="18"/>
      <c r="AD332" s="18"/>
      <c r="AE332" s="18"/>
      <c r="AF332" s="18"/>
      <c r="AG332" s="18"/>
      <c r="AH332" s="18"/>
      <c r="AI332" s="18"/>
      <c r="AJ332" s="18"/>
      <c r="AK332" s="18"/>
      <c r="AL332" s="18"/>
      <c r="AM332" s="18"/>
      <c r="AN332" s="18"/>
      <c r="AO332" s="18"/>
      <c r="AP332" s="18"/>
      <c r="AQ332" s="18"/>
      <c r="AR332" s="18"/>
      <c r="AS332" s="18"/>
      <c r="AT332" s="18"/>
      <c r="AU332" s="18"/>
      <c r="AV332" s="18"/>
      <c r="AW332" s="18"/>
    </row>
    <row r="333" spans="16:49">
      <c r="P333" s="28"/>
      <c r="Q333" s="19"/>
      <c r="R333" s="194"/>
      <c r="S333" s="200"/>
      <c r="T333" s="18"/>
      <c r="U333" s="18"/>
      <c r="V333" s="80"/>
      <c r="W333" s="157"/>
      <c r="X333" s="18"/>
      <c r="Y333" s="80"/>
      <c r="Z333" s="80"/>
      <c r="AA333" s="18"/>
      <c r="AB333" s="18"/>
      <c r="AC333" s="18"/>
      <c r="AD333" s="18"/>
      <c r="AE333" s="18"/>
      <c r="AF333" s="18"/>
      <c r="AG333" s="18"/>
      <c r="AH333" s="18"/>
      <c r="AI333" s="18"/>
      <c r="AJ333" s="18"/>
      <c r="AK333" s="18"/>
      <c r="AL333" s="18"/>
      <c r="AM333" s="18"/>
      <c r="AN333" s="18"/>
      <c r="AO333" s="18"/>
      <c r="AP333" s="18"/>
      <c r="AQ333" s="18"/>
      <c r="AR333" s="18"/>
      <c r="AS333" s="18"/>
      <c r="AT333" s="18"/>
      <c r="AU333" s="18"/>
      <c r="AV333" s="18"/>
      <c r="AW333" s="18"/>
    </row>
    <row r="334" spans="16:49">
      <c r="P334" s="28"/>
      <c r="Q334" s="19"/>
      <c r="R334" s="194"/>
      <c r="S334" s="200"/>
      <c r="T334" s="18"/>
      <c r="U334" s="18"/>
      <c r="V334" s="80"/>
      <c r="W334" s="157"/>
      <c r="X334" s="18"/>
      <c r="Y334" s="80"/>
      <c r="Z334" s="80"/>
      <c r="AA334" s="18"/>
      <c r="AB334" s="18"/>
      <c r="AC334" s="18"/>
      <c r="AD334" s="18"/>
      <c r="AE334" s="18"/>
      <c r="AF334" s="18"/>
      <c r="AG334" s="18"/>
      <c r="AH334" s="18"/>
      <c r="AI334" s="18"/>
      <c r="AJ334" s="18"/>
      <c r="AK334" s="18"/>
      <c r="AL334" s="18"/>
      <c r="AM334" s="18"/>
      <c r="AN334" s="18"/>
      <c r="AO334" s="18"/>
      <c r="AP334" s="18"/>
      <c r="AQ334" s="18"/>
      <c r="AR334" s="18"/>
      <c r="AS334" s="18"/>
      <c r="AT334" s="18"/>
      <c r="AU334" s="18"/>
      <c r="AV334" s="18"/>
      <c r="AW334" s="18"/>
    </row>
    <row r="335" spans="16:49">
      <c r="P335" s="28"/>
      <c r="Q335" s="19"/>
      <c r="R335" s="194"/>
      <c r="S335" s="200"/>
      <c r="T335" s="18"/>
      <c r="U335" s="18"/>
      <c r="V335" s="80"/>
      <c r="W335" s="157"/>
      <c r="X335" s="18"/>
      <c r="Y335" s="80"/>
      <c r="Z335" s="80"/>
      <c r="AA335" s="18"/>
      <c r="AB335" s="18"/>
      <c r="AC335" s="18"/>
      <c r="AD335" s="18"/>
      <c r="AE335" s="18"/>
      <c r="AF335" s="18"/>
      <c r="AG335" s="18"/>
      <c r="AH335" s="18"/>
      <c r="AI335" s="18"/>
      <c r="AJ335" s="18"/>
      <c r="AK335" s="18"/>
      <c r="AL335" s="18"/>
      <c r="AM335" s="18"/>
      <c r="AN335" s="18"/>
      <c r="AO335" s="18"/>
      <c r="AP335" s="18"/>
      <c r="AQ335" s="18"/>
      <c r="AR335" s="18"/>
      <c r="AS335" s="18"/>
      <c r="AT335" s="18"/>
      <c r="AU335" s="18"/>
      <c r="AV335" s="18"/>
      <c r="AW335" s="18"/>
    </row>
    <row r="336" spans="4:49">
      <c r="D336" s="2"/>
      <c r="P336" s="28"/>
      <c r="Q336" s="19"/>
      <c r="R336" s="194"/>
      <c r="S336" s="200"/>
      <c r="T336" s="18"/>
      <c r="U336" s="18"/>
      <c r="V336" s="80"/>
      <c r="W336" s="157"/>
      <c r="X336" s="18"/>
      <c r="Y336" s="80"/>
      <c r="Z336" s="80"/>
      <c r="AA336" s="18"/>
      <c r="AB336" s="18"/>
      <c r="AC336" s="18"/>
      <c r="AD336" s="18"/>
      <c r="AE336" s="18"/>
      <c r="AF336" s="18"/>
      <c r="AG336" s="18"/>
      <c r="AH336" s="18"/>
      <c r="AI336" s="18"/>
      <c r="AJ336" s="18"/>
      <c r="AK336" s="18"/>
      <c r="AL336" s="18"/>
      <c r="AM336" s="18"/>
      <c r="AN336" s="18"/>
      <c r="AO336" s="18"/>
      <c r="AP336" s="18"/>
      <c r="AQ336" s="18"/>
      <c r="AR336" s="18"/>
      <c r="AS336" s="18"/>
      <c r="AT336" s="18"/>
      <c r="AU336" s="18"/>
      <c r="AV336" s="18"/>
      <c r="AW336" s="18"/>
    </row>
    <row r="337" spans="11:49">
      <c r="K337" s="2"/>
      <c r="P337" s="28"/>
      <c r="Q337" s="19"/>
      <c r="R337" s="194"/>
      <c r="S337" s="200"/>
      <c r="T337" s="18"/>
      <c r="U337" s="18"/>
      <c r="V337" s="80"/>
      <c r="W337" s="157"/>
      <c r="X337" s="18"/>
      <c r="Y337" s="80"/>
      <c r="Z337" s="80"/>
      <c r="AA337" s="18"/>
      <c r="AB337" s="18"/>
      <c r="AC337" s="18"/>
      <c r="AD337" s="18"/>
      <c r="AE337" s="18"/>
      <c r="AF337" s="18"/>
      <c r="AG337" s="18"/>
      <c r="AH337" s="18"/>
      <c r="AI337" s="18"/>
      <c r="AJ337" s="18"/>
      <c r="AK337" s="18"/>
      <c r="AL337" s="18"/>
      <c r="AM337" s="18"/>
      <c r="AN337" s="18"/>
      <c r="AO337" s="18"/>
      <c r="AP337" s="18"/>
      <c r="AQ337" s="18"/>
      <c r="AR337" s="18"/>
      <c r="AS337" s="18"/>
      <c r="AT337" s="18"/>
      <c r="AU337" s="18"/>
      <c r="AV337" s="18"/>
      <c r="AW337" s="18"/>
    </row>
    <row r="338" spans="16:49">
      <c r="P338" s="28"/>
      <c r="Q338" s="19"/>
      <c r="R338" s="194"/>
      <c r="S338" s="200"/>
      <c r="T338" s="18"/>
      <c r="U338" s="18"/>
      <c r="V338" s="80"/>
      <c r="W338" s="157"/>
      <c r="X338" s="18"/>
      <c r="Y338" s="80"/>
      <c r="Z338" s="80"/>
      <c r="AA338" s="18"/>
      <c r="AB338" s="18"/>
      <c r="AC338" s="18"/>
      <c r="AD338" s="18"/>
      <c r="AE338" s="18"/>
      <c r="AF338" s="18"/>
      <c r="AG338" s="18"/>
      <c r="AH338" s="18"/>
      <c r="AI338" s="18"/>
      <c r="AJ338" s="18"/>
      <c r="AK338" s="18"/>
      <c r="AL338" s="18"/>
      <c r="AM338" s="18"/>
      <c r="AN338" s="18"/>
      <c r="AO338" s="18"/>
      <c r="AP338" s="18"/>
      <c r="AQ338" s="18"/>
      <c r="AR338" s="18"/>
      <c r="AS338" s="18"/>
      <c r="AT338" s="18"/>
      <c r="AU338" s="18"/>
      <c r="AV338" s="18"/>
      <c r="AW338" s="18"/>
    </row>
    <row r="339" spans="16:49">
      <c r="P339" s="28"/>
      <c r="Q339" s="19"/>
      <c r="R339" s="194"/>
      <c r="S339" s="200"/>
      <c r="T339" s="18"/>
      <c r="U339" s="18"/>
      <c r="V339" s="80"/>
      <c r="W339" s="157"/>
      <c r="X339" s="18"/>
      <c r="Y339" s="80"/>
      <c r="Z339" s="80"/>
      <c r="AA339" s="18"/>
      <c r="AB339" s="18"/>
      <c r="AC339" s="18"/>
      <c r="AD339" s="18"/>
      <c r="AE339" s="18"/>
      <c r="AF339" s="18"/>
      <c r="AG339" s="18"/>
      <c r="AH339" s="18"/>
      <c r="AI339" s="18"/>
      <c r="AJ339" s="18"/>
      <c r="AK339" s="18"/>
      <c r="AL339" s="18"/>
      <c r="AM339" s="18"/>
      <c r="AN339" s="18"/>
      <c r="AO339" s="18"/>
      <c r="AP339" s="18"/>
      <c r="AQ339" s="18"/>
      <c r="AR339" s="18"/>
      <c r="AS339" s="18"/>
      <c r="AT339" s="18"/>
      <c r="AU339" s="18"/>
      <c r="AV339" s="18"/>
      <c r="AW339" s="18"/>
    </row>
    <row r="340" spans="18:49">
      <c r="R340" s="194"/>
      <c r="S340" s="200"/>
      <c r="T340" s="18"/>
      <c r="U340" s="18"/>
      <c r="V340" s="80"/>
      <c r="W340" s="157"/>
      <c r="X340" s="18"/>
      <c r="Y340" s="80"/>
      <c r="Z340" s="80"/>
      <c r="AA340" s="18"/>
      <c r="AB340" s="18"/>
      <c r="AC340" s="18"/>
      <c r="AD340" s="18"/>
      <c r="AE340" s="18"/>
      <c r="AF340" s="18"/>
      <c r="AG340" s="18"/>
      <c r="AH340" s="18"/>
      <c r="AI340" s="18"/>
      <c r="AJ340" s="18"/>
      <c r="AK340" s="18"/>
      <c r="AL340" s="18"/>
      <c r="AM340" s="18"/>
      <c r="AN340" s="18"/>
      <c r="AO340" s="18"/>
      <c r="AP340" s="18"/>
      <c r="AQ340" s="18"/>
      <c r="AR340" s="18"/>
      <c r="AS340" s="18"/>
      <c r="AT340" s="18"/>
      <c r="AU340" s="18"/>
      <c r="AV340" s="18"/>
      <c r="AW340" s="18"/>
    </row>
    <row r="341" spans="18:49">
      <c r="R341" s="194"/>
      <c r="S341" s="200"/>
      <c r="T341" s="18"/>
      <c r="U341" s="18"/>
      <c r="V341" s="80"/>
      <c r="W341" s="157"/>
      <c r="X341" s="18"/>
      <c r="Y341" s="80"/>
      <c r="Z341" s="80"/>
      <c r="AA341" s="18"/>
      <c r="AB341" s="18"/>
      <c r="AC341" s="18"/>
      <c r="AD341" s="18"/>
      <c r="AE341" s="18"/>
      <c r="AF341" s="18"/>
      <c r="AG341" s="18"/>
      <c r="AH341" s="18"/>
      <c r="AI341" s="18"/>
      <c r="AJ341" s="18"/>
      <c r="AK341" s="18"/>
      <c r="AL341" s="18"/>
      <c r="AM341" s="18"/>
      <c r="AN341" s="18"/>
      <c r="AO341" s="18"/>
      <c r="AP341" s="18"/>
      <c r="AQ341" s="18"/>
      <c r="AR341" s="18"/>
      <c r="AS341" s="18"/>
      <c r="AT341" s="18"/>
      <c r="AU341" s="18"/>
      <c r="AV341" s="18"/>
      <c r="AW341" s="18"/>
    </row>
    <row r="342" spans="18:49">
      <c r="R342" s="194"/>
      <c r="S342" s="200"/>
      <c r="T342" s="18"/>
      <c r="U342" s="18"/>
      <c r="V342" s="80"/>
      <c r="W342" s="157"/>
      <c r="X342" s="18"/>
      <c r="Y342" s="80"/>
      <c r="Z342" s="80"/>
      <c r="AA342" s="18"/>
      <c r="AB342" s="18"/>
      <c r="AC342" s="18"/>
      <c r="AD342" s="18"/>
      <c r="AE342" s="18"/>
      <c r="AF342" s="18"/>
      <c r="AG342" s="18"/>
      <c r="AH342" s="18"/>
      <c r="AI342" s="18"/>
      <c r="AJ342" s="18"/>
      <c r="AK342" s="18"/>
      <c r="AL342" s="18"/>
      <c r="AM342" s="18"/>
      <c r="AN342" s="18"/>
      <c r="AO342" s="18"/>
      <c r="AP342" s="18"/>
      <c r="AQ342" s="18"/>
      <c r="AR342" s="18"/>
      <c r="AS342" s="18"/>
      <c r="AT342" s="18"/>
      <c r="AU342" s="18"/>
      <c r="AV342" s="18"/>
      <c r="AW342" s="18"/>
    </row>
    <row r="343" spans="18:49">
      <c r="R343" s="194"/>
      <c r="S343" s="200"/>
      <c r="T343" s="18"/>
      <c r="U343" s="18"/>
      <c r="V343" s="80"/>
      <c r="W343" s="157"/>
      <c r="X343" s="18"/>
      <c r="Y343" s="80"/>
      <c r="Z343" s="56"/>
      <c r="AA343" s="18"/>
      <c r="AB343" s="18"/>
      <c r="AC343" s="18"/>
      <c r="AD343" s="18"/>
      <c r="AE343" s="18"/>
      <c r="AF343" s="18"/>
      <c r="AG343" s="18"/>
      <c r="AH343" s="18"/>
      <c r="AI343" s="18"/>
      <c r="AJ343" s="18"/>
      <c r="AK343" s="18"/>
      <c r="AL343" s="18"/>
      <c r="AM343" s="18"/>
      <c r="AN343" s="18"/>
      <c r="AO343" s="18"/>
      <c r="AP343" s="18"/>
      <c r="AQ343" s="18"/>
      <c r="AR343" s="18"/>
      <c r="AS343" s="18"/>
      <c r="AT343" s="18"/>
      <c r="AU343" s="18"/>
      <c r="AV343" s="18"/>
      <c r="AW343" s="18"/>
    </row>
    <row r="344" spans="18:49">
      <c r="R344" s="194"/>
      <c r="S344" s="200"/>
      <c r="T344" s="18"/>
      <c r="U344" s="18"/>
      <c r="V344" s="80"/>
      <c r="W344" s="157"/>
      <c r="X344" s="18"/>
      <c r="Y344" s="80"/>
      <c r="Z344" s="56"/>
      <c r="AA344" s="18"/>
      <c r="AB344" s="18"/>
      <c r="AC344" s="18"/>
      <c r="AD344" s="18"/>
      <c r="AE344" s="18"/>
      <c r="AF344" s="18"/>
      <c r="AG344" s="18"/>
      <c r="AH344" s="18"/>
      <c r="AI344" s="18"/>
      <c r="AJ344" s="18"/>
      <c r="AK344" s="18"/>
      <c r="AL344" s="18"/>
      <c r="AM344" s="18"/>
      <c r="AN344" s="18"/>
      <c r="AO344" s="18"/>
      <c r="AP344" s="18"/>
      <c r="AQ344" s="18"/>
      <c r="AR344" s="18"/>
      <c r="AS344" s="18"/>
      <c r="AT344" s="18"/>
      <c r="AU344" s="18"/>
      <c r="AV344" s="18"/>
      <c r="AW344" s="18"/>
    </row>
    <row r="345" spans="18:49">
      <c r="R345" s="194"/>
      <c r="S345" s="200"/>
      <c r="T345" s="18"/>
      <c r="U345" s="18"/>
      <c r="V345" s="80"/>
      <c r="W345" s="157"/>
      <c r="X345" s="18"/>
      <c r="Y345" s="80"/>
      <c r="Z345" s="56"/>
      <c r="AA345" s="18"/>
      <c r="AB345" s="18"/>
      <c r="AC345" s="18"/>
      <c r="AD345" s="18"/>
      <c r="AE345" s="18"/>
      <c r="AF345" s="18"/>
      <c r="AG345" s="18"/>
      <c r="AH345" s="18"/>
      <c r="AI345" s="18"/>
      <c r="AJ345" s="18"/>
      <c r="AK345" s="18"/>
      <c r="AL345" s="18"/>
      <c r="AM345" s="18"/>
      <c r="AN345" s="18"/>
      <c r="AO345" s="18"/>
      <c r="AP345" s="18"/>
      <c r="AQ345" s="18"/>
      <c r="AR345" s="18"/>
      <c r="AS345" s="18"/>
      <c r="AT345" s="18"/>
      <c r="AU345" s="18"/>
      <c r="AV345" s="18"/>
      <c r="AW345" s="18"/>
    </row>
    <row r="346" spans="18:49">
      <c r="R346" s="194"/>
      <c r="S346" s="200"/>
      <c r="T346" s="18"/>
      <c r="U346" s="18"/>
      <c r="V346" s="18"/>
      <c r="W346" s="157"/>
      <c r="X346" s="18"/>
      <c r="Y346" s="80"/>
      <c r="Z346" s="80"/>
      <c r="AA346" s="18"/>
      <c r="AB346" s="18"/>
      <c r="AC346" s="18"/>
      <c r="AD346" s="18"/>
      <c r="AE346" s="18"/>
      <c r="AF346" s="18"/>
      <c r="AG346" s="18"/>
      <c r="AH346" s="18"/>
      <c r="AI346" s="18"/>
      <c r="AJ346" s="18"/>
      <c r="AK346" s="18"/>
      <c r="AL346" s="18"/>
      <c r="AM346" s="18"/>
      <c r="AN346" s="18"/>
      <c r="AO346" s="18"/>
      <c r="AP346" s="18"/>
      <c r="AQ346" s="18"/>
      <c r="AR346" s="18"/>
      <c r="AS346" s="18"/>
      <c r="AT346" s="18"/>
      <c r="AU346" s="18"/>
      <c r="AV346" s="18"/>
      <c r="AW346" s="18"/>
    </row>
    <row r="347" spans="18:58">
      <c r="R347" s="194"/>
      <c r="S347" s="200"/>
      <c r="T347" s="18"/>
      <c r="U347" s="18"/>
      <c r="V347" s="18"/>
      <c r="W347" s="157"/>
      <c r="X347" s="18"/>
      <c r="Y347" s="80"/>
      <c r="Z347" s="235"/>
      <c r="AA347" s="80"/>
      <c r="AB347" s="18"/>
      <c r="AC347" s="80"/>
      <c r="AD347" s="80"/>
      <c r="AE347" s="26"/>
      <c r="AF347" s="80"/>
      <c r="AG347" s="80"/>
      <c r="AH347" s="80"/>
      <c r="AI347" s="80"/>
      <c r="AJ347" s="18"/>
      <c r="AK347" s="18"/>
      <c r="AL347" s="18"/>
      <c r="AM347" s="18"/>
      <c r="AN347" s="18"/>
      <c r="AO347" s="18"/>
      <c r="AP347" s="18"/>
      <c r="AQ347" s="18"/>
      <c r="AR347" s="18"/>
      <c r="AS347" s="18"/>
      <c r="AT347" s="18"/>
      <c r="AU347" s="18"/>
      <c r="AV347" s="18"/>
      <c r="AW347" s="18"/>
      <c r="AX347" s="18"/>
      <c r="AY347" s="18"/>
      <c r="AZ347" s="18"/>
      <c r="BA347" s="18"/>
      <c r="BB347" s="18"/>
      <c r="BC347" s="18"/>
      <c r="BD347" s="18"/>
      <c r="BE347" s="18"/>
      <c r="BF347" s="18"/>
    </row>
    <row r="348" spans="18:58">
      <c r="R348" s="194"/>
      <c r="S348" s="200"/>
      <c r="T348" s="18"/>
      <c r="U348" s="18"/>
      <c r="V348" s="18"/>
      <c r="W348" s="157"/>
      <c r="X348" s="18"/>
      <c r="Y348" s="80"/>
      <c r="Z348" s="235"/>
      <c r="AA348" s="80"/>
      <c r="AB348" s="80"/>
      <c r="AC348" s="80"/>
      <c r="AD348" s="80"/>
      <c r="AE348" s="26"/>
      <c r="AF348" s="80"/>
      <c r="AG348" s="80"/>
      <c r="AH348" s="80"/>
      <c r="AI348" s="56"/>
      <c r="AJ348" s="18"/>
      <c r="AK348" s="18"/>
      <c r="AL348" s="18"/>
      <c r="AM348" s="18"/>
      <c r="AN348" s="18"/>
      <c r="AO348" s="18"/>
      <c r="AP348" s="18"/>
      <c r="AQ348" s="18"/>
      <c r="AR348" s="18"/>
      <c r="AS348" s="18"/>
      <c r="AT348" s="18"/>
      <c r="AU348" s="18"/>
      <c r="AV348" s="18"/>
      <c r="AW348" s="18"/>
      <c r="AX348" s="18"/>
      <c r="AY348" s="18"/>
      <c r="AZ348" s="18"/>
      <c r="BA348" s="18"/>
      <c r="BB348" s="18"/>
      <c r="BC348" s="18"/>
      <c r="BD348" s="18"/>
      <c r="BE348" s="18"/>
      <c r="BF348" s="18"/>
    </row>
    <row r="349" spans="18:58">
      <c r="R349" s="194"/>
      <c r="S349" s="200"/>
      <c r="T349" s="18"/>
      <c r="U349" s="18"/>
      <c r="V349" s="18"/>
      <c r="W349" s="157"/>
      <c r="X349" s="18"/>
      <c r="Y349" s="80"/>
      <c r="Z349" s="235"/>
      <c r="AA349" s="80"/>
      <c r="AB349" s="80"/>
      <c r="AC349" s="80"/>
      <c r="AD349" s="80"/>
      <c r="AE349" s="26"/>
      <c r="AF349" s="80"/>
      <c r="AG349" s="80"/>
      <c r="AH349" s="80"/>
      <c r="AI349" s="80"/>
      <c r="AJ349" s="18"/>
      <c r="AK349" s="18"/>
      <c r="AL349" s="18"/>
      <c r="AM349" s="18"/>
      <c r="AN349" s="18"/>
      <c r="AO349" s="18"/>
      <c r="AP349" s="18"/>
      <c r="AQ349" s="18"/>
      <c r="AR349" s="18"/>
      <c r="AS349" s="18"/>
      <c r="AT349" s="18"/>
      <c r="AU349" s="18"/>
      <c r="AV349" s="18"/>
      <c r="AW349" s="18"/>
      <c r="AX349" s="18"/>
      <c r="AY349" s="18"/>
      <c r="AZ349" s="18"/>
      <c r="BA349" s="18"/>
      <c r="BB349" s="18"/>
      <c r="BC349" s="18"/>
      <c r="BD349" s="18"/>
      <c r="BE349" s="18"/>
      <c r="BF349" s="18"/>
    </row>
    <row r="350" spans="18:58">
      <c r="R350" s="194"/>
      <c r="S350" s="200"/>
      <c r="T350" s="18"/>
      <c r="U350" s="18"/>
      <c r="V350" s="18"/>
      <c r="W350" s="157"/>
      <c r="X350" s="18"/>
      <c r="Y350" s="80"/>
      <c r="Z350" s="80"/>
      <c r="AA350" s="80"/>
      <c r="AB350" s="80"/>
      <c r="AC350" s="80"/>
      <c r="AD350" s="80"/>
      <c r="AE350" s="26"/>
      <c r="AF350" s="80"/>
      <c r="AG350" s="80"/>
      <c r="AH350" s="80"/>
      <c r="AI350" s="56"/>
      <c r="AJ350" s="18"/>
      <c r="AK350" s="18"/>
      <c r="AL350" s="18"/>
      <c r="AM350" s="18"/>
      <c r="AN350" s="18"/>
      <c r="AO350" s="18"/>
      <c r="AP350" s="18"/>
      <c r="AQ350" s="18"/>
      <c r="AR350" s="18"/>
      <c r="AS350" s="18"/>
      <c r="AT350" s="18"/>
      <c r="AU350" s="18"/>
      <c r="AV350" s="18"/>
      <c r="AW350" s="18"/>
      <c r="AX350" s="18"/>
      <c r="AY350" s="18"/>
      <c r="AZ350" s="18"/>
      <c r="BA350" s="18"/>
      <c r="BB350" s="18"/>
      <c r="BC350" s="18"/>
      <c r="BD350" s="18"/>
      <c r="BE350" s="18"/>
      <c r="BF350" s="18"/>
    </row>
    <row r="351" spans="18:58">
      <c r="R351" s="194"/>
      <c r="S351" s="200"/>
      <c r="T351" s="18"/>
      <c r="U351" s="18"/>
      <c r="V351" s="18"/>
      <c r="W351" s="157"/>
      <c r="X351" s="18"/>
      <c r="Y351" s="80"/>
      <c r="Z351" s="80"/>
      <c r="AA351" s="80"/>
      <c r="AB351" s="80"/>
      <c r="AC351" s="80"/>
      <c r="AD351" s="80"/>
      <c r="AE351" s="26"/>
      <c r="AF351" s="80"/>
      <c r="AG351" s="80"/>
      <c r="AH351" s="80"/>
      <c r="AI351" s="80"/>
      <c r="AJ351" s="18"/>
      <c r="AK351" s="18"/>
      <c r="AL351" s="18"/>
      <c r="AM351" s="18"/>
      <c r="AN351" s="18"/>
      <c r="AO351" s="18"/>
      <c r="AP351" s="18"/>
      <c r="AQ351" s="18"/>
      <c r="AR351" s="18"/>
      <c r="AS351" s="18"/>
      <c r="AT351" s="18"/>
      <c r="AU351" s="18"/>
      <c r="AV351" s="18"/>
      <c r="AW351" s="18"/>
      <c r="AX351" s="18"/>
      <c r="AY351" s="18"/>
      <c r="AZ351" s="18"/>
      <c r="BA351" s="18"/>
      <c r="BB351" s="18"/>
      <c r="BC351" s="18"/>
      <c r="BD351" s="18"/>
      <c r="BE351" s="18"/>
      <c r="BF351" s="18"/>
    </row>
    <row r="352" spans="18:58">
      <c r="R352" s="194"/>
      <c r="S352" s="200"/>
      <c r="T352" s="18"/>
      <c r="U352" s="18"/>
      <c r="V352" s="18"/>
      <c r="W352" s="157"/>
      <c r="X352" s="18"/>
      <c r="Y352" s="80"/>
      <c r="Z352" s="80"/>
      <c r="AA352" s="80"/>
      <c r="AB352" s="80"/>
      <c r="AC352" s="80"/>
      <c r="AD352" s="80"/>
      <c r="AE352" s="26"/>
      <c r="AF352" s="80"/>
      <c r="AG352" s="80"/>
      <c r="AH352" s="80"/>
      <c r="AI352" s="80"/>
      <c r="AJ352" s="18"/>
      <c r="AK352" s="18"/>
      <c r="AL352" s="18"/>
      <c r="AM352" s="18"/>
      <c r="AN352" s="18"/>
      <c r="AO352" s="18"/>
      <c r="AP352" s="18"/>
      <c r="AQ352" s="18"/>
      <c r="AR352" s="18"/>
      <c r="AS352" s="18"/>
      <c r="AT352" s="18"/>
      <c r="AU352" s="18"/>
      <c r="AV352" s="18"/>
      <c r="AW352" s="18"/>
      <c r="AX352" s="18"/>
      <c r="AY352" s="18"/>
      <c r="AZ352" s="18"/>
      <c r="BA352" s="18"/>
      <c r="BB352" s="18"/>
      <c r="BC352" s="18"/>
      <c r="BD352" s="18"/>
      <c r="BE352" s="18"/>
      <c r="BF352" s="18"/>
    </row>
    <row r="353" spans="18:58">
      <c r="R353" s="194"/>
      <c r="S353" s="200"/>
      <c r="T353" s="18"/>
      <c r="U353" s="18"/>
      <c r="V353" s="18"/>
      <c r="W353" s="157"/>
      <c r="X353" s="18"/>
      <c r="Y353" s="80"/>
      <c r="Z353" s="80"/>
      <c r="AA353" s="80"/>
      <c r="AB353" s="80"/>
      <c r="AC353" s="80"/>
      <c r="AD353" s="80"/>
      <c r="AE353" s="26"/>
      <c r="AF353" s="80"/>
      <c r="AG353" s="80"/>
      <c r="AH353" s="80"/>
      <c r="AI353" s="80"/>
      <c r="AJ353" s="18"/>
      <c r="AK353" s="18"/>
      <c r="AL353" s="18"/>
      <c r="AM353" s="18"/>
      <c r="AN353" s="18"/>
      <c r="AO353" s="18"/>
      <c r="AP353" s="18"/>
      <c r="AQ353" s="18"/>
      <c r="AR353" s="18"/>
      <c r="AS353" s="18"/>
      <c r="AT353" s="18"/>
      <c r="AU353" s="18"/>
      <c r="AV353" s="18"/>
      <c r="AW353" s="18"/>
      <c r="AX353" s="18"/>
      <c r="AY353" s="18"/>
      <c r="AZ353" s="18"/>
      <c r="BA353" s="18"/>
      <c r="BB353" s="18"/>
      <c r="BC353" s="18"/>
      <c r="BD353" s="18"/>
      <c r="BE353" s="18"/>
      <c r="BF353" s="18"/>
    </row>
    <row r="354" spans="18:58">
      <c r="R354" s="194"/>
      <c r="S354" s="200"/>
      <c r="T354" s="18"/>
      <c r="U354" s="18"/>
      <c r="V354" s="18"/>
      <c r="W354" s="157"/>
      <c r="X354" s="18"/>
      <c r="Y354" s="80"/>
      <c r="Z354" s="80"/>
      <c r="AA354" s="80"/>
      <c r="AB354" s="80"/>
      <c r="AC354" s="80"/>
      <c r="AD354" s="80"/>
      <c r="AE354" s="26"/>
      <c r="AF354" s="80"/>
      <c r="AG354" s="80"/>
      <c r="AH354" s="80"/>
      <c r="AI354" s="80"/>
      <c r="AJ354" s="18"/>
      <c r="AK354" s="18"/>
      <c r="AL354" s="18"/>
      <c r="AM354" s="18"/>
      <c r="AN354" s="18"/>
      <c r="AO354" s="18"/>
      <c r="AP354" s="18"/>
      <c r="AQ354" s="18"/>
      <c r="AR354" s="18"/>
      <c r="AS354" s="18"/>
      <c r="AT354" s="18"/>
      <c r="AU354" s="18"/>
      <c r="AV354" s="18"/>
      <c r="AW354" s="18"/>
      <c r="AX354" s="18"/>
      <c r="AY354" s="18"/>
      <c r="AZ354" s="18"/>
      <c r="BA354" s="18"/>
      <c r="BB354" s="18"/>
      <c r="BC354" s="18"/>
      <c r="BD354" s="18"/>
      <c r="BE354" s="18"/>
      <c r="BF354" s="18"/>
    </row>
    <row r="355" spans="18:58">
      <c r="R355" s="194"/>
      <c r="S355" s="200"/>
      <c r="T355" s="18"/>
      <c r="U355" s="18"/>
      <c r="V355" s="18"/>
      <c r="W355" s="157"/>
      <c r="X355" s="18"/>
      <c r="Y355" s="80"/>
      <c r="Z355" s="80"/>
      <c r="AA355" s="80"/>
      <c r="AB355" s="80"/>
      <c r="AC355" s="80"/>
      <c r="AD355" s="56"/>
      <c r="AE355" s="26"/>
      <c r="AF355" s="80"/>
      <c r="AG355" s="80"/>
      <c r="AH355" s="80"/>
      <c r="AI355" s="80"/>
      <c r="AJ355" s="18"/>
      <c r="AK355" s="18"/>
      <c r="AL355" s="18"/>
      <c r="AM355" s="18"/>
      <c r="AN355" s="18"/>
      <c r="AO355" s="18"/>
      <c r="AP355" s="18"/>
      <c r="AQ355" s="18"/>
      <c r="AR355" s="18"/>
      <c r="AS355" s="18"/>
      <c r="AT355" s="18"/>
      <c r="AU355" s="18"/>
      <c r="AV355" s="18"/>
      <c r="AW355" s="18"/>
      <c r="AX355" s="18"/>
      <c r="AY355" s="18"/>
      <c r="AZ355" s="18"/>
      <c r="BA355" s="18"/>
      <c r="BB355" s="18"/>
      <c r="BC355" s="18"/>
      <c r="BD355" s="18"/>
      <c r="BE355" s="18"/>
      <c r="BF355" s="18"/>
    </row>
    <row r="356" spans="18:58">
      <c r="R356" s="194"/>
      <c r="S356" s="200"/>
      <c r="T356" s="18"/>
      <c r="U356" s="18"/>
      <c r="V356" s="18"/>
      <c r="W356" s="157"/>
      <c r="X356" s="18"/>
      <c r="Y356" s="80"/>
      <c r="Z356" s="80"/>
      <c r="AA356" s="80"/>
      <c r="AB356" s="80"/>
      <c r="AC356" s="80"/>
      <c r="AD356" s="80"/>
      <c r="AE356" s="26"/>
      <c r="AF356" s="80"/>
      <c r="AG356" s="80"/>
      <c r="AH356" s="80"/>
      <c r="AI356" s="80"/>
      <c r="AJ356" s="18"/>
      <c r="AK356" s="18"/>
      <c r="AL356" s="18"/>
      <c r="AM356" s="18"/>
      <c r="AN356" s="18"/>
      <c r="AO356" s="18"/>
      <c r="AP356" s="18"/>
      <c r="AQ356" s="18"/>
      <c r="AR356" s="18"/>
      <c r="AS356" s="18"/>
      <c r="AT356" s="18"/>
      <c r="AU356" s="18"/>
      <c r="AV356" s="18"/>
      <c r="AW356" s="18"/>
      <c r="AX356" s="18"/>
      <c r="AY356" s="18"/>
      <c r="AZ356" s="18"/>
      <c r="BA356" s="18"/>
      <c r="BB356" s="18"/>
      <c r="BC356" s="18"/>
      <c r="BD356" s="18"/>
      <c r="BE356" s="18"/>
      <c r="BF356" s="18"/>
    </row>
    <row r="357" spans="18:58">
      <c r="R357" s="194"/>
      <c r="S357" s="200"/>
      <c r="T357" s="18"/>
      <c r="U357" s="18"/>
      <c r="V357" s="18"/>
      <c r="W357" s="157"/>
      <c r="X357" s="18"/>
      <c r="Y357" s="80"/>
      <c r="Z357" s="80"/>
      <c r="AA357" s="80"/>
      <c r="AB357" s="80"/>
      <c r="AC357" s="80"/>
      <c r="AD357" s="80"/>
      <c r="AE357" s="26"/>
      <c r="AF357" s="80"/>
      <c r="AG357" s="80"/>
      <c r="AH357" s="80"/>
      <c r="AI357" s="80"/>
      <c r="AJ357" s="18"/>
      <c r="AK357" s="18"/>
      <c r="AL357" s="18"/>
      <c r="AM357" s="18"/>
      <c r="AN357" s="18"/>
      <c r="AO357" s="18"/>
      <c r="AP357" s="18"/>
      <c r="AQ357" s="18"/>
      <c r="AR357" s="18"/>
      <c r="AS357" s="18"/>
      <c r="AT357" s="18"/>
      <c r="AU357" s="18"/>
      <c r="AV357" s="18"/>
      <c r="AW357" s="18"/>
      <c r="AX357" s="18"/>
      <c r="AY357" s="18"/>
      <c r="AZ357" s="18"/>
      <c r="BA357" s="18"/>
      <c r="BB357" s="18"/>
      <c r="BC357" s="18"/>
      <c r="BD357" s="18"/>
      <c r="BE357" s="18"/>
      <c r="BF357" s="18"/>
    </row>
    <row r="358" spans="18:58">
      <c r="R358" s="194"/>
      <c r="S358" s="200"/>
      <c r="T358" s="18"/>
      <c r="U358" s="18"/>
      <c r="V358" s="18"/>
      <c r="W358" s="157"/>
      <c r="X358" s="18"/>
      <c r="Y358" s="80"/>
      <c r="Z358" s="80"/>
      <c r="AA358" s="80"/>
      <c r="AB358" s="80"/>
      <c r="AC358" s="80"/>
      <c r="AD358" s="80"/>
      <c r="AE358" s="26"/>
      <c r="AF358" s="80"/>
      <c r="AG358" s="80"/>
      <c r="AH358" s="80"/>
      <c r="AI358" s="80"/>
      <c r="AJ358" s="18"/>
      <c r="AK358" s="18"/>
      <c r="AL358" s="18"/>
      <c r="AM358" s="18"/>
      <c r="AN358" s="18"/>
      <c r="AO358" s="18"/>
      <c r="AP358" s="18"/>
      <c r="AQ358" s="18"/>
      <c r="AR358" s="18"/>
      <c r="AS358" s="18"/>
      <c r="AT358" s="18"/>
      <c r="AU358" s="18"/>
      <c r="AV358" s="18"/>
      <c r="AW358" s="18"/>
      <c r="AX358" s="18"/>
      <c r="AY358" s="18"/>
      <c r="AZ358" s="18"/>
      <c r="BA358" s="18"/>
      <c r="BB358" s="18"/>
      <c r="BC358" s="18"/>
      <c r="BD358" s="18"/>
      <c r="BE358" s="18"/>
      <c r="BF358" s="18"/>
    </row>
    <row r="359" spans="18:58">
      <c r="R359" s="194"/>
      <c r="S359" s="200"/>
      <c r="T359" s="18"/>
      <c r="U359" s="18"/>
      <c r="V359" s="18"/>
      <c r="W359" s="157"/>
      <c r="X359" s="18"/>
      <c r="Y359" s="80"/>
      <c r="Z359" s="80"/>
      <c r="AA359" s="80"/>
      <c r="AB359" s="80"/>
      <c r="AC359" s="56"/>
      <c r="AD359" s="80"/>
      <c r="AE359" s="26"/>
      <c r="AF359" s="80"/>
      <c r="AG359" s="80"/>
      <c r="AH359" s="80"/>
      <c r="AI359" s="80"/>
      <c r="AJ359" s="18"/>
      <c r="AK359" s="18"/>
      <c r="AL359" s="18"/>
      <c r="AM359" s="18"/>
      <c r="AN359" s="18"/>
      <c r="AO359" s="18"/>
      <c r="AP359" s="18"/>
      <c r="AQ359" s="18"/>
      <c r="AR359" s="18"/>
      <c r="AS359" s="18"/>
      <c r="AT359" s="18"/>
      <c r="AU359" s="18"/>
      <c r="AV359" s="18"/>
      <c r="AW359" s="18"/>
      <c r="AX359" s="18"/>
      <c r="AY359" s="18"/>
      <c r="AZ359" s="18"/>
      <c r="BA359" s="18"/>
      <c r="BB359" s="18"/>
      <c r="BC359" s="18"/>
      <c r="BD359" s="18"/>
      <c r="BE359" s="18"/>
      <c r="BF359" s="18"/>
    </row>
    <row r="360" spans="18:58">
      <c r="R360" s="194"/>
      <c r="S360" s="200"/>
      <c r="T360" s="18"/>
      <c r="U360" s="18"/>
      <c r="V360" s="18"/>
      <c r="W360" s="157"/>
      <c r="X360" s="18"/>
      <c r="Y360" s="80"/>
      <c r="Z360" s="80"/>
      <c r="AA360" s="80"/>
      <c r="AB360" s="80"/>
      <c r="AC360" s="80"/>
      <c r="AD360" s="80"/>
      <c r="AE360" s="26"/>
      <c r="AF360" s="80"/>
      <c r="AG360" s="80"/>
      <c r="AH360" s="80"/>
      <c r="AI360" s="80"/>
      <c r="AJ360" s="18"/>
      <c r="AK360" s="18"/>
      <c r="AL360" s="18"/>
      <c r="AM360" s="18"/>
      <c r="AN360" s="18"/>
      <c r="AO360" s="18"/>
      <c r="AP360" s="18"/>
      <c r="AQ360" s="18"/>
      <c r="AR360" s="18"/>
      <c r="AS360" s="18"/>
      <c r="AT360" s="18"/>
      <c r="AU360" s="18"/>
      <c r="AV360" s="18"/>
      <c r="AW360" s="18"/>
      <c r="AX360" s="18"/>
      <c r="AY360" s="18"/>
      <c r="AZ360" s="18"/>
      <c r="BA360" s="18"/>
      <c r="BB360" s="18"/>
      <c r="BC360" s="18"/>
      <c r="BD360" s="18"/>
      <c r="BE360" s="18"/>
      <c r="BF360" s="18"/>
    </row>
    <row r="361" spans="18:58">
      <c r="R361" s="194"/>
      <c r="S361" s="200"/>
      <c r="T361" s="18"/>
      <c r="U361" s="18"/>
      <c r="V361" s="18"/>
      <c r="W361" s="157"/>
      <c r="X361" s="18"/>
      <c r="Y361" s="18"/>
      <c r="Z361" s="80"/>
      <c r="AA361" s="80"/>
      <c r="AB361" s="80"/>
      <c r="AC361" s="56"/>
      <c r="AD361" s="80"/>
      <c r="AE361" s="26"/>
      <c r="AF361" s="80"/>
      <c r="AG361" s="80"/>
      <c r="AH361" s="80"/>
      <c r="AI361" s="80"/>
      <c r="AJ361" s="18"/>
      <c r="AK361" s="18"/>
      <c r="AL361" s="18"/>
      <c r="AM361" s="18"/>
      <c r="AN361" s="18"/>
      <c r="AO361" s="18"/>
      <c r="AP361" s="18"/>
      <c r="AQ361" s="18"/>
      <c r="AR361" s="18"/>
      <c r="AS361" s="18"/>
      <c r="AT361" s="18"/>
      <c r="AU361" s="18"/>
      <c r="AV361" s="18"/>
      <c r="AW361" s="18"/>
      <c r="AX361" s="18"/>
      <c r="AY361" s="18"/>
      <c r="AZ361" s="18"/>
      <c r="BA361" s="18"/>
      <c r="BB361" s="18"/>
      <c r="BC361" s="18"/>
      <c r="BD361" s="18"/>
      <c r="BE361" s="18"/>
      <c r="BF361" s="18"/>
    </row>
    <row r="362" spans="18:58">
      <c r="R362" s="194"/>
      <c r="S362" s="200"/>
      <c r="T362" s="18"/>
      <c r="U362" s="18"/>
      <c r="V362" s="18"/>
      <c r="W362" s="157"/>
      <c r="X362" s="18"/>
      <c r="Y362" s="18"/>
      <c r="Z362" s="80"/>
      <c r="AA362" s="80"/>
      <c r="AB362" s="80"/>
      <c r="AC362" s="56"/>
      <c r="AD362" s="80"/>
      <c r="AE362" s="26"/>
      <c r="AF362" s="80"/>
      <c r="AG362" s="80"/>
      <c r="AH362" s="80"/>
      <c r="AI362" s="80"/>
      <c r="AJ362" s="18"/>
      <c r="AK362" s="18"/>
      <c r="AL362" s="18"/>
      <c r="AM362" s="18"/>
      <c r="AN362" s="18"/>
      <c r="AO362" s="18"/>
      <c r="AP362" s="18"/>
      <c r="AQ362" s="18"/>
      <c r="AR362" s="18"/>
      <c r="AS362" s="18"/>
      <c r="AT362" s="18"/>
      <c r="AU362" s="18"/>
      <c r="AV362" s="18"/>
      <c r="AW362" s="18"/>
      <c r="AX362" s="18"/>
      <c r="AY362" s="18"/>
      <c r="AZ362" s="18"/>
      <c r="BA362" s="18"/>
      <c r="BB362" s="18"/>
      <c r="BC362" s="18"/>
      <c r="BD362" s="18"/>
      <c r="BE362" s="18"/>
      <c r="BF362" s="18"/>
    </row>
    <row r="363" spans="18:58">
      <c r="R363" s="194"/>
      <c r="S363" s="200"/>
      <c r="T363" s="18"/>
      <c r="U363" s="18"/>
      <c r="V363" s="18"/>
      <c r="W363" s="157"/>
      <c r="X363" s="18"/>
      <c r="Y363" s="18"/>
      <c r="Z363" s="80"/>
      <c r="AA363" s="80"/>
      <c r="AB363" s="80"/>
      <c r="AC363" s="80"/>
      <c r="AD363" s="80"/>
      <c r="AE363" s="26"/>
      <c r="AF363" s="80"/>
      <c r="AG363" s="80"/>
      <c r="AH363" s="80"/>
      <c r="AI363" s="80"/>
      <c r="AJ363" s="18"/>
      <c r="AK363" s="18"/>
      <c r="AL363" s="18"/>
      <c r="AM363" s="18"/>
      <c r="AN363" s="18"/>
      <c r="AO363" s="18"/>
      <c r="AP363" s="18"/>
      <c r="AQ363" s="18"/>
      <c r="AR363" s="18"/>
      <c r="AS363" s="18"/>
      <c r="AT363" s="18"/>
      <c r="AU363" s="18"/>
      <c r="AV363" s="18"/>
      <c r="AW363" s="18"/>
      <c r="AX363" s="18"/>
      <c r="AY363" s="18"/>
      <c r="AZ363" s="18"/>
      <c r="BA363" s="18"/>
      <c r="BB363" s="18"/>
      <c r="BC363" s="18"/>
      <c r="BD363" s="18"/>
      <c r="BE363" s="18"/>
      <c r="BF363" s="18"/>
    </row>
    <row r="364" spans="18:58">
      <c r="R364" s="194"/>
      <c r="S364" s="200"/>
      <c r="T364" s="18"/>
      <c r="U364" s="18"/>
      <c r="V364" s="18"/>
      <c r="W364" s="157"/>
      <c r="X364" s="18"/>
      <c r="Y364" s="18"/>
      <c r="Z364" s="80"/>
      <c r="AA364" s="80"/>
      <c r="AB364" s="80"/>
      <c r="AC364" s="80"/>
      <c r="AD364" s="80"/>
      <c r="AE364" s="26"/>
      <c r="AF364" s="80"/>
      <c r="AG364" s="80"/>
      <c r="AH364" s="80"/>
      <c r="AI364" s="80"/>
      <c r="AJ364" s="18"/>
      <c r="AK364" s="18"/>
      <c r="AL364" s="18"/>
      <c r="AM364" s="18"/>
      <c r="AN364" s="18"/>
      <c r="AO364" s="18"/>
      <c r="AP364" s="18"/>
      <c r="AQ364" s="18"/>
      <c r="AR364" s="18"/>
      <c r="AS364" s="18"/>
      <c r="AT364" s="18"/>
      <c r="AU364" s="18"/>
      <c r="AV364" s="18"/>
      <c r="AW364" s="18"/>
      <c r="AX364" s="18"/>
      <c r="AY364" s="18"/>
      <c r="AZ364" s="18"/>
      <c r="BA364" s="18"/>
      <c r="BB364" s="18"/>
      <c r="BC364" s="18"/>
      <c r="BD364" s="18"/>
      <c r="BE364" s="18"/>
      <c r="BF364" s="18"/>
    </row>
    <row r="365" spans="18:58">
      <c r="R365" s="194"/>
      <c r="S365" s="200"/>
      <c r="T365" s="18"/>
      <c r="U365" s="18"/>
      <c r="V365" s="18"/>
      <c r="W365" s="157"/>
      <c r="X365" s="18"/>
      <c r="Y365" s="18"/>
      <c r="Z365" s="80"/>
      <c r="AA365" s="80"/>
      <c r="AB365" s="80"/>
      <c r="AC365" s="80"/>
      <c r="AD365" s="80"/>
      <c r="AE365" s="26"/>
      <c r="AF365" s="80"/>
      <c r="AG365" s="80"/>
      <c r="AH365" s="80"/>
      <c r="AI365" s="80"/>
      <c r="AJ365" s="18"/>
      <c r="AK365" s="18"/>
      <c r="AL365" s="18"/>
      <c r="AM365" s="18"/>
      <c r="AN365" s="18"/>
      <c r="AO365" s="18"/>
      <c r="AP365" s="18"/>
      <c r="AQ365" s="18"/>
      <c r="AR365" s="18"/>
      <c r="AS365" s="18"/>
      <c r="AT365" s="18"/>
      <c r="AU365" s="18"/>
      <c r="AV365" s="18"/>
      <c r="AW365" s="18"/>
      <c r="AX365" s="18"/>
      <c r="AY365" s="18"/>
      <c r="AZ365" s="18"/>
      <c r="BA365" s="18"/>
      <c r="BB365" s="18"/>
      <c r="BC365" s="18"/>
      <c r="BD365" s="18"/>
      <c r="BE365" s="18"/>
      <c r="BF365" s="18"/>
    </row>
    <row r="366" spans="18:58">
      <c r="R366" s="194"/>
      <c r="S366" s="200"/>
      <c r="T366" s="18"/>
      <c r="U366" s="18"/>
      <c r="V366" s="18"/>
      <c r="W366" s="157"/>
      <c r="X366" s="18"/>
      <c r="Y366" s="18"/>
      <c r="Z366" s="80"/>
      <c r="AA366" s="80"/>
      <c r="AB366" s="80"/>
      <c r="AC366" s="80"/>
      <c r="AD366" s="80"/>
      <c r="AE366" s="26"/>
      <c r="AF366" s="80"/>
      <c r="AG366" s="235"/>
      <c r="AH366" s="80"/>
      <c r="AI366" s="80"/>
      <c r="AJ366" s="18"/>
      <c r="AK366" s="18"/>
      <c r="AL366" s="18"/>
      <c r="AM366" s="18"/>
      <c r="AN366" s="18"/>
      <c r="AO366" s="18"/>
      <c r="AP366" s="18"/>
      <c r="AQ366" s="18"/>
      <c r="AR366" s="18"/>
      <c r="AS366" s="18"/>
      <c r="AT366" s="18"/>
      <c r="AU366" s="18"/>
      <c r="AV366" s="18"/>
      <c r="AW366" s="18"/>
      <c r="AX366" s="18"/>
      <c r="AY366" s="18"/>
      <c r="AZ366" s="18"/>
      <c r="BA366" s="18"/>
      <c r="BB366" s="18"/>
      <c r="BC366" s="18"/>
      <c r="BD366" s="18"/>
      <c r="BE366" s="18"/>
      <c r="BF366" s="18"/>
    </row>
    <row r="367" spans="18:58">
      <c r="R367" s="194"/>
      <c r="S367" s="200"/>
      <c r="T367" s="18"/>
      <c r="U367" s="18"/>
      <c r="V367" s="18"/>
      <c r="W367" s="157"/>
      <c r="X367" s="18"/>
      <c r="Y367" s="18"/>
      <c r="Z367" s="80"/>
      <c r="AA367" s="80"/>
      <c r="AB367" s="80"/>
      <c r="AC367" s="80"/>
      <c r="AD367" s="80"/>
      <c r="AE367" s="26"/>
      <c r="AF367" s="18"/>
      <c r="AG367" s="235"/>
      <c r="AH367" s="80"/>
      <c r="AI367" s="80"/>
      <c r="AJ367" s="18"/>
      <c r="AK367" s="18"/>
      <c r="AL367" s="18"/>
      <c r="AM367" s="18"/>
      <c r="AN367" s="18"/>
      <c r="AO367" s="18"/>
      <c r="AP367" s="18"/>
      <c r="AQ367" s="18"/>
      <c r="AR367" s="18"/>
      <c r="AS367" s="18"/>
      <c r="AT367" s="18"/>
      <c r="AU367" s="18"/>
      <c r="AV367" s="18"/>
      <c r="AW367" s="18"/>
      <c r="AX367" s="18"/>
      <c r="AY367" s="18"/>
      <c r="AZ367" s="18"/>
      <c r="BA367" s="18"/>
      <c r="BB367" s="18"/>
      <c r="BC367" s="18"/>
      <c r="BD367" s="18"/>
      <c r="BE367" s="18"/>
      <c r="BF367" s="18"/>
    </row>
    <row r="368" spans="18:58">
      <c r="R368" s="194"/>
      <c r="S368" s="200"/>
      <c r="T368" s="18"/>
      <c r="U368" s="18"/>
      <c r="V368" s="18"/>
      <c r="W368" s="157"/>
      <c r="X368" s="18"/>
      <c r="Y368" s="18"/>
      <c r="Z368" s="80"/>
      <c r="AA368" s="80"/>
      <c r="AB368" s="80"/>
      <c r="AC368" s="80"/>
      <c r="AD368" s="80"/>
      <c r="AE368" s="26"/>
      <c r="AF368" s="18"/>
      <c r="AG368" s="235"/>
      <c r="AH368" s="80"/>
      <c r="AI368" s="80"/>
      <c r="AJ368" s="18"/>
      <c r="AK368" s="18"/>
      <c r="AL368" s="18"/>
      <c r="AM368" s="18"/>
      <c r="AN368" s="18"/>
      <c r="AO368" s="18"/>
      <c r="AP368" s="18"/>
      <c r="AQ368" s="18"/>
      <c r="AR368" s="18"/>
      <c r="AS368" s="18"/>
      <c r="AT368" s="18"/>
      <c r="AU368" s="18"/>
      <c r="AV368" s="18"/>
      <c r="AW368" s="18"/>
      <c r="AX368" s="18"/>
      <c r="AY368" s="18"/>
      <c r="AZ368" s="18"/>
      <c r="BA368" s="18"/>
      <c r="BB368" s="18"/>
      <c r="BC368" s="18"/>
      <c r="BD368" s="18"/>
      <c r="BE368" s="18"/>
      <c r="BF368" s="18"/>
    </row>
    <row r="369" spans="18:58">
      <c r="R369" s="194"/>
      <c r="S369" s="200"/>
      <c r="T369" s="18"/>
      <c r="U369" s="18"/>
      <c r="V369" s="18"/>
      <c r="W369" s="157"/>
      <c r="X369" s="18"/>
      <c r="Y369" s="18"/>
      <c r="Z369" s="80"/>
      <c r="AA369" s="80"/>
      <c r="AB369" s="80"/>
      <c r="AC369" s="80"/>
      <c r="AD369" s="80"/>
      <c r="AE369" s="26"/>
      <c r="AF369" s="18"/>
      <c r="AG369" s="235"/>
      <c r="AH369" s="80"/>
      <c r="AI369" s="80"/>
      <c r="AJ369" s="18"/>
      <c r="AK369" s="18"/>
      <c r="AL369" s="18"/>
      <c r="AM369" s="18"/>
      <c r="AN369" s="18"/>
      <c r="AO369" s="18"/>
      <c r="AP369" s="18"/>
      <c r="AQ369" s="18"/>
      <c r="AR369" s="18"/>
      <c r="AS369" s="18"/>
      <c r="AT369" s="18"/>
      <c r="AU369" s="18"/>
      <c r="AV369" s="18"/>
      <c r="AW369" s="18"/>
      <c r="AX369" s="18"/>
      <c r="AY369" s="18"/>
      <c r="AZ369" s="18"/>
      <c r="BA369" s="18"/>
      <c r="BB369" s="18"/>
      <c r="BC369" s="18"/>
      <c r="BD369" s="18"/>
      <c r="BE369" s="18"/>
      <c r="BF369" s="18"/>
    </row>
    <row r="370" spans="18:58">
      <c r="R370" s="194"/>
      <c r="S370" s="200"/>
      <c r="T370" s="18"/>
      <c r="U370" s="18"/>
      <c r="V370" s="18"/>
      <c r="W370" s="157"/>
      <c r="X370" s="18"/>
      <c r="Y370" s="18"/>
      <c r="Z370" s="80"/>
      <c r="AA370" s="80"/>
      <c r="AB370" s="80"/>
      <c r="AC370" s="80"/>
      <c r="AD370" s="80"/>
      <c r="AE370" s="26"/>
      <c r="AF370" s="18"/>
      <c r="AG370" s="235"/>
      <c r="AH370" s="80"/>
      <c r="AI370" s="80"/>
      <c r="AJ370" s="18"/>
      <c r="AK370" s="18"/>
      <c r="AL370" s="18"/>
      <c r="AM370" s="18"/>
      <c r="AN370" s="18"/>
      <c r="AO370" s="18"/>
      <c r="AP370" s="18"/>
      <c r="AQ370" s="18"/>
      <c r="AR370" s="18"/>
      <c r="AS370" s="18"/>
      <c r="AT370" s="18"/>
      <c r="AU370" s="18"/>
      <c r="AV370" s="18"/>
      <c r="AW370" s="18"/>
      <c r="AX370" s="18"/>
      <c r="AY370" s="18"/>
      <c r="AZ370" s="18"/>
      <c r="BA370" s="18"/>
      <c r="BB370" s="18"/>
      <c r="BC370" s="18"/>
      <c r="BD370" s="18"/>
      <c r="BE370" s="18"/>
      <c r="BF370" s="18"/>
    </row>
    <row r="371" spans="18:58">
      <c r="R371" s="194"/>
      <c r="S371" s="200"/>
      <c r="T371" s="18"/>
      <c r="U371" s="18"/>
      <c r="V371" s="18"/>
      <c r="W371" s="157"/>
      <c r="X371" s="18"/>
      <c r="Y371" s="18"/>
      <c r="Z371" s="80"/>
      <c r="AA371" s="80"/>
      <c r="AB371" s="80"/>
      <c r="AC371" s="80"/>
      <c r="AD371" s="80"/>
      <c r="AE371" s="26"/>
      <c r="AF371" s="18"/>
      <c r="AG371" s="235"/>
      <c r="AH371" s="80"/>
      <c r="AI371" s="80"/>
      <c r="AJ371" s="18"/>
      <c r="AK371" s="18"/>
      <c r="AL371" s="18"/>
      <c r="AM371" s="18"/>
      <c r="AN371" s="18"/>
      <c r="AO371" s="18"/>
      <c r="AP371" s="18"/>
      <c r="AQ371" s="18"/>
      <c r="AR371" s="18"/>
      <c r="AS371" s="18"/>
      <c r="AT371" s="18"/>
      <c r="AU371" s="18"/>
      <c r="AV371" s="18"/>
      <c r="AW371" s="18"/>
      <c r="AX371" s="18"/>
      <c r="AY371" s="18"/>
      <c r="AZ371" s="18"/>
      <c r="BA371" s="18"/>
      <c r="BB371" s="18"/>
      <c r="BC371" s="18"/>
      <c r="BD371" s="18"/>
      <c r="BE371" s="18"/>
      <c r="BF371" s="18"/>
    </row>
    <row r="372" spans="18:58">
      <c r="R372" s="194"/>
      <c r="S372" s="200"/>
      <c r="T372" s="18"/>
      <c r="U372" s="18"/>
      <c r="V372" s="18"/>
      <c r="W372" s="157"/>
      <c r="X372" s="18"/>
      <c r="Y372" s="18"/>
      <c r="Z372" s="80"/>
      <c r="AA372" s="80"/>
      <c r="AB372" s="80"/>
      <c r="AC372" s="80"/>
      <c r="AD372" s="80"/>
      <c r="AE372" s="26"/>
      <c r="AF372" s="18"/>
      <c r="AG372" s="235"/>
      <c r="AH372" s="80"/>
      <c r="AI372" s="80"/>
      <c r="AJ372" s="18"/>
      <c r="AK372" s="18"/>
      <c r="AL372" s="18"/>
      <c r="AM372" s="18"/>
      <c r="AN372" s="18"/>
      <c r="AO372" s="18"/>
      <c r="AP372" s="18"/>
      <c r="AQ372" s="18"/>
      <c r="AR372" s="18"/>
      <c r="AS372" s="18"/>
      <c r="AT372" s="18"/>
      <c r="AU372" s="18"/>
      <c r="AV372" s="18"/>
      <c r="AW372" s="18"/>
      <c r="AX372" s="18"/>
      <c r="AY372" s="18"/>
      <c r="AZ372" s="18"/>
      <c r="BA372" s="18"/>
      <c r="BB372" s="18"/>
      <c r="BC372" s="18"/>
      <c r="BD372" s="18"/>
      <c r="BE372" s="18"/>
      <c r="BF372" s="18"/>
    </row>
    <row r="373" spans="18:58">
      <c r="R373" s="194"/>
      <c r="S373" s="200"/>
      <c r="T373" s="18"/>
      <c r="U373" s="18"/>
      <c r="V373" s="18"/>
      <c r="W373" s="157"/>
      <c r="X373" s="18"/>
      <c r="Y373" s="18"/>
      <c r="Z373" s="80"/>
      <c r="AA373" s="80"/>
      <c r="AB373" s="80"/>
      <c r="AC373" s="80"/>
      <c r="AD373" s="80"/>
      <c r="AE373" s="26"/>
      <c r="AF373" s="80"/>
      <c r="AG373" s="80"/>
      <c r="AH373" s="80"/>
      <c r="AI373" s="80"/>
      <c r="AJ373" s="18"/>
      <c r="AK373" s="18"/>
      <c r="AL373" s="18"/>
      <c r="AM373" s="18"/>
      <c r="AN373" s="18"/>
      <c r="AO373" s="18"/>
      <c r="AP373" s="18"/>
      <c r="AQ373" s="18"/>
      <c r="AR373" s="18"/>
      <c r="AS373" s="18"/>
      <c r="AT373" s="18"/>
      <c r="AU373" s="18"/>
      <c r="AV373" s="18"/>
      <c r="AW373" s="18"/>
      <c r="AX373" s="18"/>
      <c r="AY373" s="18"/>
      <c r="AZ373" s="18"/>
      <c r="BA373" s="18"/>
      <c r="BB373" s="18"/>
      <c r="BC373" s="18"/>
      <c r="BD373" s="18"/>
      <c r="BE373" s="18"/>
      <c r="BF373" s="18"/>
    </row>
    <row r="374" spans="18:58">
      <c r="R374" s="194"/>
      <c r="S374" s="200"/>
      <c r="T374" s="18"/>
      <c r="U374" s="18"/>
      <c r="V374" s="18"/>
      <c r="W374" s="157"/>
      <c r="X374" s="18"/>
      <c r="Y374" s="18"/>
      <c r="Z374" s="80"/>
      <c r="AA374" s="80"/>
      <c r="AB374" s="80"/>
      <c r="AC374" s="80"/>
      <c r="AD374" s="80"/>
      <c r="AE374" s="124"/>
      <c r="AF374" s="56"/>
      <c r="AG374" s="80"/>
      <c r="AH374" s="80"/>
      <c r="AI374" s="80"/>
      <c r="AJ374" s="18"/>
      <c r="AK374" s="18"/>
      <c r="AL374" s="18"/>
      <c r="AM374" s="18"/>
      <c r="AN374" s="18"/>
      <c r="AO374" s="18"/>
      <c r="AP374" s="18"/>
      <c r="AQ374" s="18"/>
      <c r="AR374" s="18"/>
      <c r="AS374" s="18"/>
      <c r="AT374" s="18"/>
      <c r="AU374" s="18"/>
      <c r="AV374" s="18"/>
      <c r="AW374" s="18"/>
      <c r="AX374" s="18"/>
      <c r="AY374" s="18"/>
      <c r="AZ374" s="18"/>
      <c r="BA374" s="18"/>
      <c r="BB374" s="18"/>
      <c r="BC374" s="18"/>
      <c r="BD374" s="18"/>
      <c r="BE374" s="18"/>
      <c r="BF374" s="18"/>
    </row>
    <row r="375" spans="18:58">
      <c r="R375" s="194"/>
      <c r="S375" s="200"/>
      <c r="T375" s="18"/>
      <c r="U375" s="18"/>
      <c r="V375" s="18"/>
      <c r="W375" s="157"/>
      <c r="X375" s="18"/>
      <c r="Y375" s="18"/>
      <c r="Z375" s="80"/>
      <c r="AA375" s="80"/>
      <c r="AB375" s="80"/>
      <c r="AC375" s="80"/>
      <c r="AD375" s="80"/>
      <c r="AE375" s="124"/>
      <c r="AF375" s="56"/>
      <c r="AG375" s="80"/>
      <c r="AH375" s="80"/>
      <c r="AI375" s="80"/>
      <c r="AJ375" s="18"/>
      <c r="AK375" s="18"/>
      <c r="AL375" s="18"/>
      <c r="AM375" s="18"/>
      <c r="AN375" s="18"/>
      <c r="AO375" s="18"/>
      <c r="AP375" s="18"/>
      <c r="AQ375" s="18"/>
      <c r="AR375" s="18"/>
      <c r="AS375" s="18"/>
      <c r="AT375" s="18"/>
      <c r="AU375" s="18"/>
      <c r="AV375" s="18"/>
      <c r="AW375" s="18"/>
      <c r="AX375" s="18"/>
      <c r="AY375" s="18"/>
      <c r="AZ375" s="18"/>
      <c r="BA375" s="18"/>
      <c r="BB375" s="18"/>
      <c r="BC375" s="18"/>
      <c r="BD375" s="18"/>
      <c r="BE375" s="18"/>
      <c r="BF375" s="18"/>
    </row>
    <row r="376" spans="18:58">
      <c r="R376" s="194"/>
      <c r="S376" s="200"/>
      <c r="T376" s="18"/>
      <c r="U376" s="18"/>
      <c r="V376" s="18"/>
      <c r="W376" s="157"/>
      <c r="X376" s="18"/>
      <c r="Y376" s="18"/>
      <c r="Z376" s="80"/>
      <c r="AA376" s="80"/>
      <c r="AB376" s="80"/>
      <c r="AC376" s="80"/>
      <c r="AD376" s="80"/>
      <c r="AE376" s="124"/>
      <c r="AF376" s="56"/>
      <c r="AG376" s="80"/>
      <c r="AH376" s="80"/>
      <c r="AI376" s="80"/>
      <c r="AJ376" s="18"/>
      <c r="AK376" s="18"/>
      <c r="AL376" s="18"/>
      <c r="AM376" s="18"/>
      <c r="AN376" s="18"/>
      <c r="AO376" s="18"/>
      <c r="AP376" s="18"/>
      <c r="AQ376" s="18"/>
      <c r="AR376" s="18"/>
      <c r="AS376" s="18"/>
      <c r="AT376" s="18"/>
      <c r="AU376" s="18"/>
      <c r="AV376" s="18"/>
      <c r="AW376" s="18"/>
      <c r="AX376" s="18"/>
      <c r="AY376" s="18"/>
      <c r="AZ376" s="18"/>
      <c r="BA376" s="18"/>
      <c r="BB376" s="18"/>
      <c r="BC376" s="18"/>
      <c r="BD376" s="18"/>
      <c r="BE376" s="18"/>
      <c r="BF376" s="18"/>
    </row>
    <row r="377" spans="18:58">
      <c r="R377" s="194"/>
      <c r="S377" s="200"/>
      <c r="T377" s="18"/>
      <c r="U377" s="18"/>
      <c r="V377" s="18"/>
      <c r="W377" s="157"/>
      <c r="X377" s="18"/>
      <c r="Y377" s="18"/>
      <c r="Z377" s="80"/>
      <c r="AA377" s="80"/>
      <c r="AB377" s="80"/>
      <c r="AC377" s="80"/>
      <c r="AD377" s="80"/>
      <c r="AE377" s="26"/>
      <c r="AF377" s="80"/>
      <c r="AG377" s="80"/>
      <c r="AH377" s="80"/>
      <c r="AI377" s="80"/>
      <c r="AJ377" s="18"/>
      <c r="AK377" s="18"/>
      <c r="AL377" s="18"/>
      <c r="AM377" s="18"/>
      <c r="AN377" s="18"/>
      <c r="AO377" s="18"/>
      <c r="AP377" s="18"/>
      <c r="AQ377" s="18"/>
      <c r="AR377" s="18"/>
      <c r="AS377" s="18"/>
      <c r="AT377" s="18"/>
      <c r="AU377" s="18"/>
      <c r="AV377" s="18"/>
      <c r="AW377" s="18"/>
      <c r="AX377" s="18"/>
      <c r="AY377" s="18"/>
      <c r="AZ377" s="18"/>
      <c r="BA377" s="18"/>
      <c r="BB377" s="18"/>
      <c r="BC377" s="18"/>
      <c r="BD377" s="18"/>
      <c r="BE377" s="18"/>
      <c r="BF377" s="18"/>
    </row>
    <row r="378" spans="18:58">
      <c r="R378" s="194"/>
      <c r="S378" s="200"/>
      <c r="T378" s="18"/>
      <c r="U378" s="18"/>
      <c r="V378" s="18"/>
      <c r="W378" s="157"/>
      <c r="X378" s="18"/>
      <c r="Y378" s="18"/>
      <c r="Z378" s="18"/>
      <c r="AA378" s="18"/>
      <c r="AB378" s="80"/>
      <c r="AC378" s="18"/>
      <c r="AD378" s="18"/>
      <c r="AE378" s="19"/>
      <c r="AF378" s="18"/>
      <c r="AG378" s="18"/>
      <c r="AH378" s="18"/>
      <c r="AI378" s="18"/>
      <c r="AJ378" s="18"/>
      <c r="AK378" s="18"/>
      <c r="AL378" s="18"/>
      <c r="AM378" s="18"/>
      <c r="AN378" s="18"/>
      <c r="AO378" s="18"/>
      <c r="AP378" s="18"/>
      <c r="AQ378" s="18"/>
      <c r="AR378" s="18"/>
      <c r="AS378" s="18"/>
      <c r="AT378" s="18"/>
      <c r="AU378" s="18"/>
      <c r="AV378" s="18"/>
      <c r="AW378" s="18"/>
      <c r="AX378" s="18"/>
      <c r="AY378" s="18"/>
      <c r="AZ378" s="18"/>
      <c r="BA378" s="18"/>
      <c r="BB378" s="18"/>
      <c r="BC378" s="18"/>
      <c r="BD378" s="18"/>
      <c r="BE378" s="18"/>
      <c r="BF378" s="18"/>
    </row>
    <row r="379" spans="18:58">
      <c r="R379" s="194"/>
      <c r="S379" s="200"/>
      <c r="T379" s="18"/>
      <c r="U379" s="18"/>
      <c r="V379" s="18"/>
      <c r="W379" s="157"/>
      <c r="X379" s="18"/>
      <c r="Y379" s="18"/>
      <c r="Z379" s="18"/>
      <c r="AA379" s="18"/>
      <c r="AB379" s="18"/>
      <c r="AC379" s="18"/>
      <c r="AD379" s="18"/>
      <c r="AE379" s="19"/>
      <c r="AF379" s="18"/>
      <c r="AG379" s="18"/>
      <c r="AH379" s="18"/>
      <c r="AI379" s="18"/>
      <c r="AJ379" s="18"/>
      <c r="AK379" s="18"/>
      <c r="AL379" s="18"/>
      <c r="AM379" s="18"/>
      <c r="AN379" s="18"/>
      <c r="AO379" s="18"/>
      <c r="AP379" s="18"/>
      <c r="AQ379" s="18"/>
      <c r="AR379" s="18"/>
      <c r="AS379" s="18"/>
      <c r="AT379" s="18"/>
      <c r="AU379" s="18"/>
      <c r="AV379" s="18"/>
      <c r="AW379" s="18"/>
      <c r="AX379" s="18"/>
      <c r="AY379" s="18"/>
      <c r="AZ379" s="18"/>
      <c r="BA379" s="18"/>
      <c r="BB379" s="18"/>
      <c r="BC379" s="18"/>
      <c r="BD379" s="18"/>
      <c r="BE379" s="18"/>
      <c r="BF379" s="18"/>
    </row>
    <row r="380" spans="18:58">
      <c r="R380" s="194"/>
      <c r="S380" s="200"/>
      <c r="T380" s="18"/>
      <c r="U380" s="18"/>
      <c r="V380" s="18"/>
      <c r="W380" s="157"/>
      <c r="X380" s="18"/>
      <c r="Y380" s="18"/>
      <c r="Z380" s="18"/>
      <c r="AA380" s="18"/>
      <c r="AB380" s="18"/>
      <c r="AC380" s="18"/>
      <c r="AD380" s="18"/>
      <c r="AE380" s="19"/>
      <c r="AF380" s="18"/>
      <c r="AG380" s="18"/>
      <c r="AH380" s="18"/>
      <c r="AI380" s="18"/>
      <c r="AJ380" s="18"/>
      <c r="AK380" s="18"/>
      <c r="AL380" s="18"/>
      <c r="AM380" s="18"/>
      <c r="AN380" s="18"/>
      <c r="AO380" s="18"/>
      <c r="AP380" s="18"/>
      <c r="AQ380" s="18"/>
      <c r="AR380" s="18"/>
      <c r="AS380" s="18"/>
      <c r="AT380" s="18"/>
      <c r="AU380" s="18"/>
      <c r="AV380" s="18"/>
      <c r="AW380" s="18"/>
      <c r="AX380" s="18"/>
      <c r="AY380" s="18"/>
      <c r="AZ380" s="18"/>
      <c r="BA380" s="18"/>
      <c r="BB380" s="18"/>
      <c r="BC380" s="18"/>
      <c r="BD380" s="18"/>
      <c r="BE380" s="18"/>
      <c r="BF380" s="18"/>
    </row>
    <row r="381" spans="18:58">
      <c r="R381" s="194"/>
      <c r="S381" s="200"/>
      <c r="T381" s="18"/>
      <c r="U381" s="18"/>
      <c r="V381" s="18"/>
      <c r="W381" s="157"/>
      <c r="X381" s="18"/>
      <c r="Y381" s="18"/>
      <c r="Z381" s="18"/>
      <c r="AA381" s="18"/>
      <c r="AB381" s="18"/>
      <c r="AC381" s="18"/>
      <c r="AD381" s="18"/>
      <c r="AE381" s="19"/>
      <c r="AF381" s="18"/>
      <c r="AG381" s="18"/>
      <c r="AH381" s="18"/>
      <c r="AI381" s="18"/>
      <c r="AJ381" s="18"/>
      <c r="AK381" s="18"/>
      <c r="AL381" s="18"/>
      <c r="AM381" s="18"/>
      <c r="AN381" s="18"/>
      <c r="AO381" s="18"/>
      <c r="AP381" s="18"/>
      <c r="AQ381" s="18"/>
      <c r="AR381" s="18"/>
      <c r="AS381" s="18"/>
      <c r="AT381" s="18"/>
      <c r="AU381" s="18"/>
      <c r="AV381" s="18"/>
      <c r="AW381" s="18"/>
      <c r="AX381" s="18"/>
      <c r="AY381" s="18"/>
      <c r="AZ381" s="18"/>
      <c r="BA381" s="18"/>
      <c r="BB381" s="18"/>
      <c r="BC381" s="18"/>
      <c r="BD381" s="18"/>
      <c r="BE381" s="18"/>
      <c r="BF381" s="18"/>
    </row>
    <row r="382" spans="18:58">
      <c r="R382" s="194"/>
      <c r="S382" s="200"/>
      <c r="T382" s="18"/>
      <c r="U382" s="18"/>
      <c r="V382" s="18"/>
      <c r="W382" s="157"/>
      <c r="X382" s="18"/>
      <c r="Y382" s="18"/>
      <c r="Z382" s="18"/>
      <c r="AA382" s="18"/>
      <c r="AB382" s="18"/>
      <c r="AC382" s="18"/>
      <c r="AD382" s="18"/>
      <c r="AE382" s="19"/>
      <c r="AF382" s="18"/>
      <c r="AG382" s="18"/>
      <c r="AH382" s="18"/>
      <c r="AI382" s="18"/>
      <c r="AJ382" s="18"/>
      <c r="AK382" s="18"/>
      <c r="AL382" s="18"/>
      <c r="AM382" s="18"/>
      <c r="AN382" s="18"/>
      <c r="AO382" s="18"/>
      <c r="AP382" s="18"/>
      <c r="AQ382" s="18"/>
      <c r="AR382" s="18"/>
      <c r="AS382" s="18"/>
      <c r="AT382" s="18"/>
      <c r="AU382" s="18"/>
      <c r="AV382" s="18"/>
      <c r="AW382" s="18"/>
      <c r="AX382" s="18"/>
      <c r="AY382" s="18"/>
      <c r="AZ382" s="18"/>
      <c r="BA382" s="18"/>
      <c r="BB382" s="18"/>
      <c r="BC382" s="18"/>
      <c r="BD382" s="18"/>
      <c r="BE382" s="18"/>
      <c r="BF382" s="18"/>
    </row>
    <row r="383" spans="18:58">
      <c r="R383" s="194"/>
      <c r="S383" s="200"/>
      <c r="T383" s="18"/>
      <c r="U383" s="18"/>
      <c r="V383" s="18"/>
      <c r="W383" s="157"/>
      <c r="X383" s="18"/>
      <c r="Y383" s="18"/>
      <c r="Z383" s="18"/>
      <c r="AA383" s="18"/>
      <c r="AB383" s="18"/>
      <c r="AC383" s="18"/>
      <c r="AD383" s="18"/>
      <c r="AE383" s="19"/>
      <c r="AF383" s="18"/>
      <c r="AG383" s="18"/>
      <c r="AH383" s="18"/>
      <c r="AI383" s="18"/>
      <c r="AJ383" s="18"/>
      <c r="AK383" s="18"/>
      <c r="AL383" s="18"/>
      <c r="AM383" s="18"/>
      <c r="AN383" s="18"/>
      <c r="AO383" s="18"/>
      <c r="AP383" s="18"/>
      <c r="AQ383" s="18"/>
      <c r="AR383" s="18"/>
      <c r="AS383" s="18"/>
      <c r="AT383" s="18"/>
      <c r="AU383" s="18"/>
      <c r="AV383" s="18"/>
      <c r="AW383" s="18"/>
      <c r="AX383" s="18"/>
      <c r="AY383" s="18"/>
      <c r="AZ383" s="18"/>
      <c r="BA383" s="18"/>
      <c r="BB383" s="18"/>
      <c r="BC383" s="18"/>
      <c r="BD383" s="18"/>
      <c r="BE383" s="18"/>
      <c r="BF383" s="18"/>
    </row>
    <row r="384" spans="18:58">
      <c r="R384" s="194"/>
      <c r="S384" s="200"/>
      <c r="T384" s="18"/>
      <c r="U384" s="18"/>
      <c r="V384" s="18"/>
      <c r="W384" s="157"/>
      <c r="X384" s="18"/>
      <c r="Y384" s="18"/>
      <c r="Z384" s="18"/>
      <c r="AA384" s="18"/>
      <c r="AB384" s="18"/>
      <c r="AC384" s="18"/>
      <c r="AD384" s="18"/>
      <c r="AE384" s="19"/>
      <c r="AF384" s="18"/>
      <c r="AG384" s="18"/>
      <c r="AH384" s="18"/>
      <c r="AI384" s="18"/>
      <c r="AJ384" s="18"/>
      <c r="AK384" s="18"/>
      <c r="AL384" s="18"/>
      <c r="AM384" s="18"/>
      <c r="AN384" s="18"/>
      <c r="AO384" s="18"/>
      <c r="AP384" s="18"/>
      <c r="AQ384" s="18"/>
      <c r="AR384" s="18"/>
      <c r="AS384" s="18"/>
      <c r="AT384" s="18"/>
      <c r="AU384" s="18"/>
      <c r="AV384" s="18"/>
      <c r="AW384" s="18"/>
      <c r="AX384" s="18"/>
      <c r="AY384" s="18"/>
      <c r="AZ384" s="18"/>
      <c r="BA384" s="18"/>
      <c r="BB384" s="18"/>
      <c r="BC384" s="18"/>
      <c r="BD384" s="18"/>
      <c r="BE384" s="18"/>
      <c r="BF384" s="18"/>
    </row>
    <row r="385" spans="18:58">
      <c r="R385" s="194"/>
      <c r="S385" s="200"/>
      <c r="T385" s="18"/>
      <c r="U385" s="18"/>
      <c r="V385" s="18"/>
      <c r="W385" s="157"/>
      <c r="X385" s="18"/>
      <c r="Y385" s="18"/>
      <c r="Z385" s="18"/>
      <c r="AA385" s="18"/>
      <c r="AB385" s="18"/>
      <c r="AC385" s="18"/>
      <c r="AD385" s="18"/>
      <c r="AE385" s="19"/>
      <c r="AF385" s="18"/>
      <c r="AG385" s="18"/>
      <c r="AH385" s="18"/>
      <c r="AI385" s="18"/>
      <c r="AJ385" s="18"/>
      <c r="AK385" s="18"/>
      <c r="AL385" s="18"/>
      <c r="AM385" s="18"/>
      <c r="AN385" s="18"/>
      <c r="AO385" s="18"/>
      <c r="AP385" s="18"/>
      <c r="AQ385" s="18"/>
      <c r="AR385" s="18"/>
      <c r="AS385" s="18"/>
      <c r="AT385" s="18"/>
      <c r="AU385" s="18"/>
      <c r="AV385" s="18"/>
      <c r="AW385" s="18"/>
      <c r="AX385" s="18"/>
      <c r="AY385" s="18"/>
      <c r="AZ385" s="18"/>
      <c r="BA385" s="18"/>
      <c r="BB385" s="18"/>
      <c r="BC385" s="18"/>
      <c r="BD385" s="18"/>
      <c r="BE385" s="18"/>
      <c r="BF385" s="18"/>
    </row>
    <row r="386" spans="18:58">
      <c r="R386" s="194"/>
      <c r="S386" s="200"/>
      <c r="T386" s="18"/>
      <c r="U386" s="18"/>
      <c r="V386" s="18"/>
      <c r="W386" s="157"/>
      <c r="X386" s="18"/>
      <c r="Y386" s="18"/>
      <c r="Z386" s="18"/>
      <c r="AA386" s="18"/>
      <c r="AB386" s="18"/>
      <c r="AC386" s="18"/>
      <c r="AD386" s="18"/>
      <c r="AE386" s="19"/>
      <c r="AF386" s="18"/>
      <c r="AG386" s="18"/>
      <c r="AH386" s="18"/>
      <c r="AI386" s="18"/>
      <c r="AJ386" s="18"/>
      <c r="AK386" s="18"/>
      <c r="AL386" s="18"/>
      <c r="AM386" s="18"/>
      <c r="AN386" s="18"/>
      <c r="AO386" s="18"/>
      <c r="AP386" s="18"/>
      <c r="AQ386" s="18"/>
      <c r="AR386" s="18"/>
      <c r="AS386" s="18"/>
      <c r="AT386" s="18"/>
      <c r="AU386" s="18"/>
      <c r="AV386" s="18"/>
      <c r="AW386" s="18"/>
      <c r="AX386" s="18"/>
      <c r="AY386" s="18"/>
      <c r="AZ386" s="18"/>
      <c r="BA386" s="18"/>
      <c r="BB386" s="18"/>
      <c r="BC386" s="18"/>
      <c r="BD386" s="18"/>
      <c r="BE386" s="18"/>
      <c r="BF386" s="18"/>
    </row>
    <row r="387" spans="18:58">
      <c r="R387" s="194"/>
      <c r="S387" s="200"/>
      <c r="T387" s="18"/>
      <c r="U387" s="18"/>
      <c r="V387" s="18"/>
      <c r="W387" s="157"/>
      <c r="X387" s="18"/>
      <c r="Y387" s="18"/>
      <c r="Z387" s="18"/>
      <c r="AA387" s="18"/>
      <c r="AB387" s="18"/>
      <c r="AC387" s="18"/>
      <c r="AD387" s="18"/>
      <c r="AE387" s="19"/>
      <c r="AF387" s="18"/>
      <c r="AG387" s="18"/>
      <c r="AH387" s="18"/>
      <c r="AI387" s="18"/>
      <c r="AJ387" s="18"/>
      <c r="AK387" s="18"/>
      <c r="AL387" s="18"/>
      <c r="AM387" s="18"/>
      <c r="AN387" s="18"/>
      <c r="AO387" s="18"/>
      <c r="AP387" s="18"/>
      <c r="AQ387" s="18"/>
      <c r="AR387" s="18"/>
      <c r="AS387" s="18"/>
      <c r="AT387" s="18"/>
      <c r="AU387" s="18"/>
      <c r="AV387" s="18"/>
      <c r="AW387" s="18"/>
      <c r="AX387" s="18"/>
      <c r="AY387" s="18"/>
      <c r="AZ387" s="18"/>
      <c r="BA387" s="18"/>
      <c r="BB387" s="18"/>
      <c r="BC387" s="18"/>
      <c r="BD387" s="18"/>
      <c r="BE387" s="18"/>
      <c r="BF387" s="18"/>
    </row>
    <row r="388" spans="18:58">
      <c r="R388" s="194"/>
      <c r="S388" s="200"/>
      <c r="T388" s="18"/>
      <c r="U388" s="18"/>
      <c r="V388" s="18"/>
      <c r="W388" s="157"/>
      <c r="X388" s="18"/>
      <c r="Y388" s="18"/>
      <c r="Z388" s="18"/>
      <c r="AA388" s="18"/>
      <c r="AB388" s="18"/>
      <c r="AC388" s="18"/>
      <c r="AD388" s="18"/>
      <c r="AE388" s="19"/>
      <c r="AF388" s="18"/>
      <c r="AG388" s="18"/>
      <c r="AH388" s="18"/>
      <c r="AI388" s="18"/>
      <c r="AJ388" s="18"/>
      <c r="AK388" s="18"/>
      <c r="AL388" s="18"/>
      <c r="AM388" s="18"/>
      <c r="AN388" s="18"/>
      <c r="AO388" s="18"/>
      <c r="AP388" s="18"/>
      <c r="AQ388" s="18"/>
      <c r="AR388" s="18"/>
      <c r="AS388" s="18"/>
      <c r="AT388" s="18"/>
      <c r="AU388" s="18"/>
      <c r="AV388" s="18"/>
      <c r="AW388" s="18"/>
      <c r="AX388" s="18"/>
      <c r="AY388" s="18"/>
      <c r="AZ388" s="18"/>
      <c r="BA388" s="18"/>
      <c r="BB388" s="18"/>
      <c r="BC388" s="18"/>
      <c r="BD388" s="18"/>
      <c r="BE388" s="18"/>
      <c r="BF388" s="18"/>
    </row>
    <row r="389" spans="18:58">
      <c r="R389" s="194"/>
      <c r="S389" s="200"/>
      <c r="T389" s="18"/>
      <c r="U389" s="18"/>
      <c r="V389" s="18"/>
      <c r="W389" s="157"/>
      <c r="X389" s="18"/>
      <c r="Y389" s="18"/>
      <c r="Z389" s="18"/>
      <c r="AA389" s="18"/>
      <c r="AB389" s="18"/>
      <c r="AC389" s="18"/>
      <c r="AD389" s="18"/>
      <c r="AE389" s="19"/>
      <c r="AF389" s="18"/>
      <c r="AG389" s="18"/>
      <c r="AH389" s="18"/>
      <c r="AI389" s="18"/>
      <c r="AJ389" s="18"/>
      <c r="AK389" s="18"/>
      <c r="AL389" s="18"/>
      <c r="AM389" s="18"/>
      <c r="AN389" s="18"/>
      <c r="AO389" s="18"/>
      <c r="AP389" s="18"/>
      <c r="AQ389" s="18"/>
      <c r="AR389" s="18"/>
      <c r="AS389" s="18"/>
      <c r="AT389" s="18"/>
      <c r="AU389" s="18"/>
      <c r="AV389" s="18"/>
      <c r="AW389" s="18"/>
      <c r="AX389" s="18"/>
      <c r="AY389" s="18"/>
      <c r="AZ389" s="18"/>
      <c r="BA389" s="18"/>
      <c r="BB389" s="18"/>
      <c r="BC389" s="18"/>
      <c r="BD389" s="18"/>
      <c r="BE389" s="18"/>
      <c r="BF389" s="18"/>
    </row>
    <row r="390" spans="18:58">
      <c r="R390" s="194"/>
      <c r="V390" s="18"/>
      <c r="W390" s="157"/>
      <c r="X390" s="18"/>
      <c r="Y390" s="18"/>
      <c r="Z390" s="18"/>
      <c r="AA390" s="18"/>
      <c r="AB390" s="18"/>
      <c r="AC390" s="18"/>
      <c r="AD390" s="18"/>
      <c r="AE390" s="19"/>
      <c r="AF390" s="18"/>
      <c r="AG390" s="18"/>
      <c r="AH390" s="18"/>
      <c r="AI390" s="18"/>
      <c r="AJ390" s="18"/>
      <c r="AK390" s="18"/>
      <c r="AL390" s="18"/>
      <c r="AM390" s="18"/>
      <c r="AN390" s="18"/>
      <c r="AO390" s="18"/>
      <c r="AP390" s="18"/>
      <c r="AQ390" s="18"/>
      <c r="AR390" s="18"/>
      <c r="AS390" s="18"/>
      <c r="AT390" s="18"/>
      <c r="AU390" s="18"/>
      <c r="AV390" s="18"/>
      <c r="AW390" s="18"/>
      <c r="AX390" s="18"/>
      <c r="AY390" s="18"/>
      <c r="AZ390" s="18"/>
      <c r="BA390" s="18"/>
      <c r="BB390" s="18"/>
      <c r="BC390" s="18"/>
      <c r="BD390" s="18"/>
      <c r="BE390" s="18"/>
      <c r="BF390" s="18"/>
    </row>
    <row r="391" spans="18:58">
      <c r="R391" s="194"/>
      <c r="V391" s="18"/>
      <c r="W391" s="157"/>
      <c r="X391" s="18"/>
      <c r="Y391" s="18"/>
      <c r="Z391" s="18"/>
      <c r="AA391" s="18"/>
      <c r="AB391" s="18"/>
      <c r="AC391" s="18"/>
      <c r="AD391" s="18"/>
      <c r="AE391" s="19"/>
      <c r="AF391" s="18"/>
      <c r="AG391" s="18"/>
      <c r="AH391" s="18"/>
      <c r="AI391" s="18"/>
      <c r="AJ391" s="18"/>
      <c r="AK391" s="18"/>
      <c r="AL391" s="18"/>
      <c r="AM391" s="18"/>
      <c r="AN391" s="18"/>
      <c r="AO391" s="18"/>
      <c r="AP391" s="18"/>
      <c r="AQ391" s="18"/>
      <c r="AR391" s="18"/>
      <c r="AS391" s="18"/>
      <c r="AT391" s="18"/>
      <c r="AU391" s="18"/>
      <c r="AV391" s="18"/>
      <c r="AW391" s="18"/>
      <c r="AX391" s="18"/>
      <c r="AY391" s="18"/>
      <c r="AZ391" s="18"/>
      <c r="BA391" s="18"/>
      <c r="BB391" s="18"/>
      <c r="BC391" s="18"/>
      <c r="BD391" s="18"/>
      <c r="BE391" s="18"/>
      <c r="BF391" s="18"/>
    </row>
    <row r="392" spans="18:58">
      <c r="R392" s="194"/>
      <c r="V392" s="18"/>
      <c r="W392" s="157"/>
      <c r="X392" s="18"/>
      <c r="Y392" s="18"/>
      <c r="Z392" s="18"/>
      <c r="AA392" s="18"/>
      <c r="AB392" s="18"/>
      <c r="AC392" s="18"/>
      <c r="AD392" s="18"/>
      <c r="AE392" s="19"/>
      <c r="AF392" s="18"/>
      <c r="AG392" s="18"/>
      <c r="AH392" s="18"/>
      <c r="AI392" s="18"/>
      <c r="AJ392" s="18"/>
      <c r="AK392" s="18"/>
      <c r="AL392" s="18"/>
      <c r="AM392" s="18"/>
      <c r="AN392" s="18"/>
      <c r="AO392" s="18"/>
      <c r="AP392" s="18"/>
      <c r="AQ392" s="18"/>
      <c r="AR392" s="18"/>
      <c r="AS392" s="18"/>
      <c r="AT392" s="18"/>
      <c r="AU392" s="18"/>
      <c r="AV392" s="18"/>
      <c r="AW392" s="18"/>
      <c r="AX392" s="18"/>
      <c r="AY392" s="18"/>
      <c r="AZ392" s="18"/>
      <c r="BA392" s="18"/>
      <c r="BB392" s="18"/>
      <c r="BC392" s="18"/>
      <c r="BD392" s="18"/>
      <c r="BE392" s="18"/>
      <c r="BF392" s="18"/>
    </row>
    <row r="393" spans="18:58">
      <c r="R393" s="194"/>
      <c r="V393" s="18"/>
      <c r="W393" s="157"/>
      <c r="X393" s="18"/>
      <c r="Y393" s="18"/>
      <c r="Z393" s="18"/>
      <c r="AA393" s="18"/>
      <c r="AB393" s="18"/>
      <c r="AC393" s="18"/>
      <c r="AD393" s="18"/>
      <c r="AE393" s="19"/>
      <c r="AF393" s="18"/>
      <c r="AG393" s="18"/>
      <c r="AH393" s="18"/>
      <c r="AI393" s="18"/>
      <c r="AJ393" s="18"/>
      <c r="AK393" s="18"/>
      <c r="AL393" s="18"/>
      <c r="AM393" s="18"/>
      <c r="AN393" s="18"/>
      <c r="AO393" s="18"/>
      <c r="AP393" s="18"/>
      <c r="AQ393" s="18"/>
      <c r="AR393" s="18"/>
      <c r="AS393" s="18"/>
      <c r="AT393" s="18"/>
      <c r="AU393" s="18"/>
      <c r="AV393" s="18"/>
      <c r="AW393" s="18"/>
      <c r="AX393" s="18"/>
      <c r="AY393" s="18"/>
      <c r="AZ393" s="18"/>
      <c r="BA393" s="18"/>
      <c r="BB393" s="18"/>
      <c r="BC393" s="18"/>
      <c r="BD393" s="18"/>
      <c r="BE393" s="18"/>
      <c r="BF393" s="18"/>
    </row>
    <row r="394" spans="18:58">
      <c r="R394" s="194"/>
      <c r="V394" s="18"/>
      <c r="W394" s="157"/>
      <c r="X394" s="18"/>
      <c r="Y394" s="18"/>
      <c r="Z394" s="18"/>
      <c r="AA394" s="18"/>
      <c r="AB394" s="18"/>
      <c r="AC394" s="18"/>
      <c r="AD394" s="18"/>
      <c r="AE394" s="19"/>
      <c r="AF394" s="18"/>
      <c r="AG394" s="18"/>
      <c r="AH394" s="18"/>
      <c r="AI394" s="18"/>
      <c r="AJ394" s="18"/>
      <c r="AK394" s="18"/>
      <c r="AL394" s="18"/>
      <c r="AM394" s="18"/>
      <c r="AN394" s="18"/>
      <c r="AO394" s="18"/>
      <c r="AP394" s="18"/>
      <c r="AQ394" s="18"/>
      <c r="AR394" s="18"/>
      <c r="AS394" s="18"/>
      <c r="AT394" s="18"/>
      <c r="AU394" s="18"/>
      <c r="AV394" s="18"/>
      <c r="AW394" s="18"/>
      <c r="AX394" s="18"/>
      <c r="AY394" s="18"/>
      <c r="AZ394" s="18"/>
      <c r="BA394" s="18"/>
      <c r="BB394" s="18"/>
      <c r="BC394" s="18"/>
      <c r="BD394" s="18"/>
      <c r="BE394" s="18"/>
      <c r="BF394" s="18"/>
    </row>
    <row r="395" spans="18:58">
      <c r="R395" s="194"/>
      <c r="V395" s="18"/>
      <c r="W395" s="157"/>
      <c r="X395" s="18"/>
      <c r="Y395" s="18"/>
      <c r="Z395" s="18"/>
      <c r="AA395" s="18"/>
      <c r="AB395" s="18"/>
      <c r="AC395" s="18"/>
      <c r="AD395" s="18"/>
      <c r="AE395" s="19"/>
      <c r="AF395" s="18"/>
      <c r="AG395" s="18"/>
      <c r="AH395" s="18"/>
      <c r="AI395" s="18"/>
      <c r="AJ395" s="18"/>
      <c r="AK395" s="18"/>
      <c r="AL395" s="18"/>
      <c r="AM395" s="18"/>
      <c r="AN395" s="18"/>
      <c r="AO395" s="18"/>
      <c r="AP395" s="18"/>
      <c r="AQ395" s="18"/>
      <c r="AR395" s="18"/>
      <c r="AS395" s="18"/>
      <c r="AT395" s="18"/>
      <c r="AU395" s="18"/>
      <c r="AV395" s="18"/>
      <c r="AW395" s="18"/>
      <c r="AX395" s="18"/>
      <c r="AY395" s="18"/>
      <c r="AZ395" s="18"/>
      <c r="BA395" s="18"/>
      <c r="BB395" s="18"/>
      <c r="BC395" s="18"/>
      <c r="BD395" s="18"/>
      <c r="BE395" s="18"/>
      <c r="BF395" s="18"/>
    </row>
    <row r="396" spans="18:58">
      <c r="R396" s="194"/>
      <c r="V396" s="18"/>
      <c r="W396" s="157"/>
      <c r="X396" s="18"/>
      <c r="Y396" s="18"/>
      <c r="Z396" s="18"/>
      <c r="AA396" s="18"/>
      <c r="AB396" s="18"/>
      <c r="AC396" s="18"/>
      <c r="AD396" s="18"/>
      <c r="AE396" s="19"/>
      <c r="AF396" s="18"/>
      <c r="AG396" s="18"/>
      <c r="AH396" s="18"/>
      <c r="AI396" s="18"/>
      <c r="AJ396" s="18"/>
      <c r="AK396" s="18"/>
      <c r="AL396" s="18"/>
      <c r="AM396" s="18"/>
      <c r="AN396" s="18"/>
      <c r="AO396" s="18"/>
      <c r="AP396" s="18"/>
      <c r="AQ396" s="18"/>
      <c r="AR396" s="18"/>
      <c r="AS396" s="18"/>
      <c r="AT396" s="18"/>
      <c r="AU396" s="18"/>
      <c r="AV396" s="18"/>
      <c r="AW396" s="18"/>
      <c r="AX396" s="18"/>
      <c r="AY396" s="18"/>
      <c r="AZ396" s="18"/>
      <c r="BA396" s="18"/>
      <c r="BB396" s="18"/>
      <c r="BC396" s="18"/>
      <c r="BD396" s="18"/>
      <c r="BE396" s="18"/>
      <c r="BF396" s="18"/>
    </row>
    <row r="397" spans="18:58">
      <c r="R397" s="194"/>
      <c r="V397" s="18"/>
      <c r="W397" s="157"/>
      <c r="X397" s="18"/>
      <c r="Y397" s="18"/>
      <c r="Z397" s="18"/>
      <c r="AA397" s="18"/>
      <c r="AB397" s="18"/>
      <c r="AC397" s="18"/>
      <c r="AD397" s="18"/>
      <c r="AE397" s="19"/>
      <c r="AF397" s="18"/>
      <c r="AG397" s="18"/>
      <c r="AH397" s="18"/>
      <c r="AI397" s="18"/>
      <c r="AJ397" s="18"/>
      <c r="AK397" s="18"/>
      <c r="AL397" s="18"/>
      <c r="AM397" s="18"/>
      <c r="AN397" s="18"/>
      <c r="AO397" s="18"/>
      <c r="AP397" s="18"/>
      <c r="AQ397" s="18"/>
      <c r="AR397" s="18"/>
      <c r="AS397" s="18"/>
      <c r="AT397" s="18"/>
      <c r="AU397" s="18"/>
      <c r="AV397" s="18"/>
      <c r="AW397" s="18"/>
      <c r="AX397" s="18"/>
      <c r="AY397" s="18"/>
      <c r="AZ397" s="18"/>
      <c r="BA397" s="18"/>
      <c r="BB397" s="18"/>
      <c r="BC397" s="18"/>
      <c r="BD397" s="18"/>
      <c r="BE397" s="18"/>
      <c r="BF397" s="18"/>
    </row>
    <row r="398" spans="18:58">
      <c r="R398" s="194"/>
      <c r="V398" s="18"/>
      <c r="W398" s="157"/>
      <c r="X398" s="18"/>
      <c r="Y398" s="18"/>
      <c r="Z398" s="18"/>
      <c r="AA398" s="18"/>
      <c r="AB398" s="18"/>
      <c r="AC398" s="18"/>
      <c r="AD398" s="18"/>
      <c r="AE398" s="19"/>
      <c r="AF398" s="18"/>
      <c r="AG398" s="18"/>
      <c r="AH398" s="18"/>
      <c r="AI398" s="18"/>
      <c r="AJ398" s="18"/>
      <c r="AK398" s="18"/>
      <c r="AL398" s="18"/>
      <c r="AM398" s="18"/>
      <c r="AN398" s="18"/>
      <c r="AO398" s="18"/>
      <c r="AP398" s="18"/>
      <c r="AQ398" s="18"/>
      <c r="AR398" s="18"/>
      <c r="AS398" s="18"/>
      <c r="AT398" s="18"/>
      <c r="AU398" s="18"/>
      <c r="AV398" s="18"/>
      <c r="AW398" s="18"/>
      <c r="AX398" s="18"/>
      <c r="AY398" s="18"/>
      <c r="AZ398" s="18"/>
      <c r="BA398" s="18"/>
      <c r="BB398" s="18"/>
      <c r="BC398" s="18"/>
      <c r="BD398" s="18"/>
      <c r="BE398" s="18"/>
      <c r="BF398" s="18"/>
    </row>
    <row r="399" spans="18:58">
      <c r="R399" s="194"/>
      <c r="V399" s="18"/>
      <c r="W399" s="157"/>
      <c r="X399" s="18"/>
      <c r="Y399" s="18"/>
      <c r="Z399" s="18"/>
      <c r="AA399" s="18"/>
      <c r="AB399" s="18"/>
      <c r="AC399" s="18"/>
      <c r="AD399" s="18"/>
      <c r="AE399" s="19"/>
      <c r="AF399" s="18"/>
      <c r="AG399" s="18"/>
      <c r="AH399" s="18"/>
      <c r="AI399" s="18"/>
      <c r="AJ399" s="18"/>
      <c r="AK399" s="18"/>
      <c r="AL399" s="18"/>
      <c r="AM399" s="18"/>
      <c r="AN399" s="18"/>
      <c r="AO399" s="18"/>
      <c r="AP399" s="18"/>
      <c r="AQ399" s="18"/>
      <c r="AR399" s="18"/>
      <c r="AS399" s="18"/>
      <c r="AT399" s="18"/>
      <c r="AU399" s="18"/>
      <c r="AV399" s="18"/>
      <c r="AW399" s="18"/>
      <c r="AX399" s="18"/>
      <c r="AY399" s="18"/>
      <c r="AZ399" s="18"/>
      <c r="BA399" s="18"/>
      <c r="BB399" s="18"/>
      <c r="BC399" s="18"/>
      <c r="BD399" s="18"/>
      <c r="BE399" s="18"/>
      <c r="BF399" s="18"/>
    </row>
    <row r="400" spans="18:58">
      <c r="R400" s="194"/>
      <c r="V400" s="18"/>
      <c r="W400" s="157"/>
      <c r="X400" s="18"/>
      <c r="Y400" s="18"/>
      <c r="Z400" s="18"/>
      <c r="AA400" s="18"/>
      <c r="AB400" s="18"/>
      <c r="AC400" s="18"/>
      <c r="AD400" s="18"/>
      <c r="AE400" s="19"/>
      <c r="AF400" s="18"/>
      <c r="AG400" s="18"/>
      <c r="AH400" s="18"/>
      <c r="AI400" s="18"/>
      <c r="AJ400" s="18"/>
      <c r="AK400" s="18"/>
      <c r="AL400" s="18"/>
      <c r="AM400" s="18"/>
      <c r="AN400" s="18"/>
      <c r="AO400" s="18"/>
      <c r="AP400" s="18"/>
      <c r="AQ400" s="18"/>
      <c r="AR400" s="18"/>
      <c r="AS400" s="18"/>
      <c r="AT400" s="18"/>
      <c r="AU400" s="18"/>
      <c r="AV400" s="18"/>
      <c r="AW400" s="18"/>
      <c r="AX400" s="18"/>
      <c r="AY400" s="18"/>
      <c r="AZ400" s="18"/>
      <c r="BA400" s="18"/>
      <c r="BB400" s="18"/>
      <c r="BC400" s="18"/>
      <c r="BD400" s="18"/>
      <c r="BE400" s="18"/>
      <c r="BF400" s="18"/>
    </row>
    <row r="401" spans="18:58">
      <c r="R401" s="194"/>
      <c r="V401" s="18"/>
      <c r="W401" s="157"/>
      <c r="X401" s="18"/>
      <c r="Y401" s="18"/>
      <c r="Z401" s="18"/>
      <c r="AA401" s="18"/>
      <c r="AB401" s="18"/>
      <c r="AC401" s="18"/>
      <c r="AD401" s="18"/>
      <c r="AE401" s="19"/>
      <c r="AF401" s="18"/>
      <c r="AG401" s="18"/>
      <c r="AH401" s="18"/>
      <c r="AI401" s="18"/>
      <c r="AJ401" s="18"/>
      <c r="AK401" s="18"/>
      <c r="AL401" s="18"/>
      <c r="AM401" s="18"/>
      <c r="AN401" s="18"/>
      <c r="AO401" s="18"/>
      <c r="AP401" s="18"/>
      <c r="AQ401" s="18"/>
      <c r="AR401" s="18"/>
      <c r="AS401" s="18"/>
      <c r="AT401" s="18"/>
      <c r="AU401" s="18"/>
      <c r="AV401" s="18"/>
      <c r="AW401" s="18"/>
      <c r="AX401" s="18"/>
      <c r="AY401" s="18"/>
      <c r="AZ401" s="18"/>
      <c r="BA401" s="18"/>
      <c r="BB401" s="18"/>
      <c r="BC401" s="18"/>
      <c r="BD401" s="18"/>
      <c r="BE401" s="18"/>
      <c r="BF401" s="18"/>
    </row>
    <row r="402" spans="18:58">
      <c r="R402" s="194"/>
      <c r="V402" s="18"/>
      <c r="W402" s="157"/>
      <c r="X402" s="18"/>
      <c r="Y402" s="18"/>
      <c r="Z402" s="18"/>
      <c r="AA402" s="18"/>
      <c r="AB402" s="18"/>
      <c r="AC402" s="18"/>
      <c r="AD402" s="18"/>
      <c r="AE402" s="19"/>
      <c r="AF402" s="18"/>
      <c r="AG402" s="18"/>
      <c r="AH402" s="18"/>
      <c r="AI402" s="18"/>
      <c r="AJ402" s="18"/>
      <c r="AK402" s="18"/>
      <c r="AL402" s="18"/>
      <c r="AM402" s="18"/>
      <c r="AN402" s="18"/>
      <c r="AO402" s="18"/>
      <c r="AP402" s="18"/>
      <c r="AQ402" s="18"/>
      <c r="AR402" s="18"/>
      <c r="AS402" s="18"/>
      <c r="AT402" s="18"/>
      <c r="AU402" s="18"/>
      <c r="AV402" s="18"/>
      <c r="AW402" s="18"/>
      <c r="AX402" s="18"/>
      <c r="AY402" s="18"/>
      <c r="AZ402" s="18"/>
      <c r="BA402" s="18"/>
      <c r="BB402" s="18"/>
      <c r="BC402" s="18"/>
      <c r="BD402" s="18"/>
      <c r="BE402" s="18"/>
      <c r="BF402" s="18"/>
    </row>
    <row r="403" spans="18:58">
      <c r="R403" s="194"/>
      <c r="V403" s="18"/>
      <c r="W403" s="157"/>
      <c r="X403" s="18"/>
      <c r="Y403" s="18"/>
      <c r="Z403" s="18"/>
      <c r="AA403" s="18"/>
      <c r="AB403" s="18"/>
      <c r="AC403" s="18"/>
      <c r="AD403" s="18"/>
      <c r="AE403" s="19"/>
      <c r="AF403" s="18"/>
      <c r="AG403" s="18"/>
      <c r="AH403" s="18"/>
      <c r="AI403" s="18"/>
      <c r="AJ403" s="18"/>
      <c r="AK403" s="18"/>
      <c r="AL403" s="18"/>
      <c r="AM403" s="18"/>
      <c r="AN403" s="18"/>
      <c r="AO403" s="18"/>
      <c r="AP403" s="18"/>
      <c r="AQ403" s="18"/>
      <c r="AR403" s="18"/>
      <c r="AS403" s="18"/>
      <c r="AT403" s="18"/>
      <c r="AU403" s="18"/>
      <c r="AV403" s="18"/>
      <c r="AW403" s="18"/>
      <c r="AX403" s="18"/>
      <c r="AY403" s="18"/>
      <c r="AZ403" s="18"/>
      <c r="BA403" s="18"/>
      <c r="BB403" s="18"/>
      <c r="BC403" s="18"/>
      <c r="BD403" s="18"/>
      <c r="BE403" s="18"/>
      <c r="BF403" s="18"/>
    </row>
    <row r="404" spans="18:58">
      <c r="R404" s="194"/>
      <c r="V404" s="18"/>
      <c r="W404" s="157"/>
      <c r="X404" s="18"/>
      <c r="Y404" s="18"/>
      <c r="Z404" s="18"/>
      <c r="AA404" s="18"/>
      <c r="AB404" s="18"/>
      <c r="AC404" s="18"/>
      <c r="AD404" s="18"/>
      <c r="AE404" s="19"/>
      <c r="AF404" s="18"/>
      <c r="AG404" s="18"/>
      <c r="AH404" s="18"/>
      <c r="AI404" s="18"/>
      <c r="AJ404" s="18"/>
      <c r="AK404" s="18"/>
      <c r="AL404" s="18"/>
      <c r="AM404" s="18"/>
      <c r="AN404" s="18"/>
      <c r="AO404" s="18"/>
      <c r="AP404" s="18"/>
      <c r="AQ404" s="18"/>
      <c r="AR404" s="18"/>
      <c r="AS404" s="18"/>
      <c r="AT404" s="18"/>
      <c r="AU404" s="18"/>
      <c r="AV404" s="18"/>
      <c r="AW404" s="18"/>
      <c r="AX404" s="18"/>
      <c r="AY404" s="18"/>
      <c r="AZ404" s="18"/>
      <c r="BA404" s="18"/>
      <c r="BB404" s="18"/>
      <c r="BC404" s="18"/>
      <c r="BD404" s="18"/>
      <c r="BE404" s="18"/>
      <c r="BF404" s="18"/>
    </row>
    <row r="405" spans="18:58">
      <c r="R405" s="194"/>
      <c r="V405" s="18"/>
      <c r="W405" s="157"/>
      <c r="X405" s="18"/>
      <c r="Y405" s="18"/>
      <c r="Z405" s="18"/>
      <c r="AA405" s="18"/>
      <c r="AB405" s="18"/>
      <c r="AC405" s="18"/>
      <c r="AD405" s="18"/>
      <c r="AE405" s="19"/>
      <c r="AF405" s="18"/>
      <c r="AG405" s="18"/>
      <c r="AH405" s="18"/>
      <c r="AI405" s="18"/>
      <c r="AJ405" s="18"/>
      <c r="AK405" s="18"/>
      <c r="AL405" s="18"/>
      <c r="AM405" s="18"/>
      <c r="AN405" s="18"/>
      <c r="AO405" s="18"/>
      <c r="AP405" s="18"/>
      <c r="AQ405" s="18"/>
      <c r="AR405" s="18"/>
      <c r="AS405" s="18"/>
      <c r="AT405" s="18"/>
      <c r="AU405" s="18"/>
      <c r="AV405" s="18"/>
      <c r="AW405" s="18"/>
      <c r="AX405" s="18"/>
      <c r="AY405" s="18"/>
      <c r="AZ405" s="18"/>
      <c r="BA405" s="18"/>
      <c r="BB405" s="18"/>
      <c r="BC405" s="18"/>
      <c r="BD405" s="18"/>
      <c r="BE405" s="18"/>
      <c r="BF405" s="18"/>
    </row>
    <row r="406" spans="18:58">
      <c r="R406" s="194"/>
      <c r="V406" s="18"/>
      <c r="Z406" s="18"/>
      <c r="AA406" s="18"/>
      <c r="AB406" s="18"/>
      <c r="AC406" s="18"/>
      <c r="AD406" s="18"/>
      <c r="AE406" s="19"/>
      <c r="AF406" s="18"/>
      <c r="AG406" s="18"/>
      <c r="AH406" s="18"/>
      <c r="AI406" s="18"/>
      <c r="AJ406" s="18"/>
      <c r="AK406" s="18"/>
      <c r="AL406" s="18"/>
      <c r="AM406" s="18"/>
      <c r="AN406" s="18"/>
      <c r="AO406" s="18"/>
      <c r="AP406" s="18"/>
      <c r="AQ406" s="18"/>
      <c r="AR406" s="18"/>
      <c r="AS406" s="18"/>
      <c r="AT406" s="18"/>
      <c r="AU406" s="18"/>
      <c r="AV406" s="18"/>
      <c r="AW406" s="18"/>
      <c r="AX406" s="18"/>
      <c r="AY406" s="18"/>
      <c r="AZ406" s="18"/>
      <c r="BA406" s="18"/>
      <c r="BB406" s="18"/>
      <c r="BC406" s="18"/>
      <c r="BD406" s="18"/>
      <c r="BE406" s="18"/>
      <c r="BF406" s="18"/>
    </row>
    <row r="407" spans="18:58">
      <c r="R407" s="194"/>
      <c r="V407" s="18"/>
      <c r="Z407" s="18"/>
      <c r="AA407" s="18"/>
      <c r="AB407" s="18"/>
      <c r="AC407" s="18"/>
      <c r="AD407" s="18"/>
      <c r="AE407" s="19"/>
      <c r="AF407" s="18"/>
      <c r="AG407" s="18"/>
      <c r="AH407" s="18"/>
      <c r="AI407" s="18"/>
      <c r="AJ407" s="18"/>
      <c r="AK407" s="18"/>
      <c r="AL407" s="18"/>
      <c r="AM407" s="18"/>
      <c r="AN407" s="18"/>
      <c r="AO407" s="18"/>
      <c r="AP407" s="18"/>
      <c r="AQ407" s="18"/>
      <c r="AR407" s="18"/>
      <c r="AS407" s="18"/>
      <c r="AT407" s="18"/>
      <c r="AU407" s="18"/>
      <c r="AV407" s="18"/>
      <c r="AW407" s="18"/>
      <c r="AX407" s="18"/>
      <c r="AY407" s="18"/>
      <c r="AZ407" s="18"/>
      <c r="BA407" s="18"/>
      <c r="BB407" s="18"/>
      <c r="BC407" s="18"/>
      <c r="BD407" s="18"/>
      <c r="BE407" s="18"/>
      <c r="BF407" s="18"/>
    </row>
    <row r="408" spans="18:58">
      <c r="R408" s="194"/>
      <c r="V408" s="18"/>
      <c r="Z408" s="18"/>
      <c r="AA408" s="18"/>
      <c r="AB408" s="18"/>
      <c r="AC408" s="18"/>
      <c r="AD408" s="18"/>
      <c r="AE408" s="19"/>
      <c r="AF408" s="18"/>
      <c r="AG408" s="18"/>
      <c r="AH408" s="18"/>
      <c r="AI408" s="18"/>
      <c r="AJ408" s="18"/>
      <c r="AK408" s="18"/>
      <c r="AL408" s="18"/>
      <c r="AM408" s="18"/>
      <c r="AN408" s="18"/>
      <c r="AO408" s="18"/>
      <c r="AP408" s="18"/>
      <c r="AQ408" s="18"/>
      <c r="AR408" s="18"/>
      <c r="AS408" s="18"/>
      <c r="AT408" s="18"/>
      <c r="AU408" s="18"/>
      <c r="AV408" s="18"/>
      <c r="AW408" s="18"/>
      <c r="AX408" s="18"/>
      <c r="AY408" s="18"/>
      <c r="AZ408" s="18"/>
      <c r="BA408" s="18"/>
      <c r="BB408" s="18"/>
      <c r="BC408" s="18"/>
      <c r="BD408" s="18"/>
      <c r="BE408" s="18"/>
      <c r="BF408" s="18"/>
    </row>
    <row r="409" spans="18:58">
      <c r="R409" s="194"/>
      <c r="V409" s="18"/>
      <c r="Z409" s="18"/>
      <c r="AA409" s="18"/>
      <c r="AB409" s="18"/>
      <c r="AC409" s="18"/>
      <c r="AD409" s="18"/>
      <c r="AE409" s="19"/>
      <c r="AF409" s="18"/>
      <c r="AG409" s="18"/>
      <c r="AH409" s="18"/>
      <c r="AI409" s="18"/>
      <c r="AJ409" s="18"/>
      <c r="AK409" s="18"/>
      <c r="AL409" s="18"/>
      <c r="AM409" s="18"/>
      <c r="AN409" s="18"/>
      <c r="AO409" s="18"/>
      <c r="AP409" s="18"/>
      <c r="AQ409" s="18"/>
      <c r="AR409" s="18"/>
      <c r="AS409" s="18"/>
      <c r="AT409" s="18"/>
      <c r="AU409" s="18"/>
      <c r="AV409" s="18"/>
      <c r="AW409" s="18"/>
      <c r="AX409" s="18"/>
      <c r="AY409" s="18"/>
      <c r="AZ409" s="18"/>
      <c r="BA409" s="18"/>
      <c r="BB409" s="18"/>
      <c r="BC409" s="18"/>
      <c r="BD409" s="18"/>
      <c r="BE409" s="18"/>
      <c r="BF409" s="18"/>
    </row>
    <row r="410" spans="18:58">
      <c r="R410" s="194"/>
      <c r="V410" s="18"/>
      <c r="Z410" s="18"/>
      <c r="AA410" s="18"/>
      <c r="AB410" s="18"/>
      <c r="AC410" s="18"/>
      <c r="AD410" s="18"/>
      <c r="AE410" s="19"/>
      <c r="AF410" s="18"/>
      <c r="AG410" s="18"/>
      <c r="AH410" s="18"/>
      <c r="AI410" s="18"/>
      <c r="AJ410" s="18"/>
      <c r="AK410" s="18"/>
      <c r="AL410" s="18"/>
      <c r="AM410" s="18"/>
      <c r="AN410" s="18"/>
      <c r="AO410" s="18"/>
      <c r="AP410" s="18"/>
      <c r="AQ410" s="18"/>
      <c r="AR410" s="18"/>
      <c r="AS410" s="18"/>
      <c r="AT410" s="18"/>
      <c r="AU410" s="18"/>
      <c r="AV410" s="18"/>
      <c r="AW410" s="18"/>
      <c r="AX410" s="18"/>
      <c r="AY410" s="18"/>
      <c r="AZ410" s="18"/>
      <c r="BA410" s="18"/>
      <c r="BB410" s="18"/>
      <c r="BC410" s="18"/>
      <c r="BD410" s="18"/>
      <c r="BE410" s="18"/>
      <c r="BF410" s="18"/>
    </row>
    <row r="411" spans="18:58">
      <c r="R411" s="194"/>
      <c r="V411" s="18"/>
      <c r="Z411" s="18"/>
      <c r="AA411" s="18"/>
      <c r="AB411" s="18"/>
      <c r="AC411" s="18"/>
      <c r="AD411" s="18"/>
      <c r="AE411" s="19"/>
      <c r="AF411" s="18"/>
      <c r="AG411" s="18"/>
      <c r="AH411" s="18"/>
      <c r="AI411" s="18"/>
      <c r="AJ411" s="18"/>
      <c r="AK411" s="18"/>
      <c r="AL411" s="18"/>
      <c r="AM411" s="18"/>
      <c r="AN411" s="18"/>
      <c r="AO411" s="18"/>
      <c r="AP411" s="18"/>
      <c r="AQ411" s="18"/>
      <c r="AR411" s="18"/>
      <c r="AS411" s="18"/>
      <c r="AT411" s="18"/>
      <c r="AU411" s="18"/>
      <c r="AV411" s="18"/>
      <c r="AW411" s="18"/>
      <c r="AX411" s="18"/>
      <c r="AY411" s="18"/>
      <c r="AZ411" s="18"/>
      <c r="BA411" s="18"/>
      <c r="BB411" s="18"/>
      <c r="BC411" s="18"/>
      <c r="BD411" s="18"/>
      <c r="BE411" s="18"/>
      <c r="BF411" s="18"/>
    </row>
    <row r="412" spans="18:58">
      <c r="R412" s="194"/>
      <c r="V412" s="18"/>
      <c r="Z412" s="18"/>
      <c r="AA412" s="18"/>
      <c r="AB412" s="18"/>
      <c r="AC412" s="18"/>
      <c r="AD412" s="18"/>
      <c r="AE412" s="19"/>
      <c r="AF412" s="18"/>
      <c r="AG412" s="18"/>
      <c r="AH412" s="18"/>
      <c r="AI412" s="18"/>
      <c r="AJ412" s="18"/>
      <c r="AK412" s="18"/>
      <c r="AL412" s="18"/>
      <c r="AM412" s="18"/>
      <c r="AN412" s="18"/>
      <c r="AO412" s="18"/>
      <c r="AP412" s="18"/>
      <c r="AQ412" s="18"/>
      <c r="AR412" s="18"/>
      <c r="AS412" s="18"/>
      <c r="AT412" s="18"/>
      <c r="AU412" s="18"/>
      <c r="AV412" s="18"/>
      <c r="AW412" s="18"/>
      <c r="AX412" s="18"/>
      <c r="AY412" s="18"/>
      <c r="AZ412" s="18"/>
      <c r="BA412" s="18"/>
      <c r="BB412" s="18"/>
      <c r="BC412" s="18"/>
      <c r="BD412" s="18"/>
      <c r="BE412" s="18"/>
      <c r="BF412" s="18"/>
    </row>
    <row r="413" spans="18:58">
      <c r="R413" s="194"/>
      <c r="V413" s="18"/>
      <c r="Z413" s="18"/>
      <c r="AA413" s="18"/>
      <c r="AB413" s="18"/>
      <c r="AC413" s="18"/>
      <c r="AD413" s="18"/>
      <c r="AE413" s="19"/>
      <c r="AF413" s="18"/>
      <c r="AG413" s="18"/>
      <c r="AH413" s="18"/>
      <c r="AI413" s="18"/>
      <c r="AJ413" s="18"/>
      <c r="AK413" s="18"/>
      <c r="AL413" s="18"/>
      <c r="AM413" s="18"/>
      <c r="AN413" s="18"/>
      <c r="AO413" s="18"/>
      <c r="AP413" s="18"/>
      <c r="AQ413" s="18"/>
      <c r="AR413" s="18"/>
      <c r="AS413" s="18"/>
      <c r="AT413" s="18"/>
      <c r="AU413" s="18"/>
      <c r="AV413" s="18"/>
      <c r="AW413" s="18"/>
      <c r="AX413" s="18"/>
      <c r="AY413" s="18"/>
      <c r="AZ413" s="18"/>
      <c r="BA413" s="18"/>
      <c r="BB413" s="18"/>
      <c r="BC413" s="18"/>
      <c r="BD413" s="18"/>
      <c r="BE413" s="18"/>
      <c r="BF413" s="18"/>
    </row>
    <row r="414" spans="18:58">
      <c r="R414" s="194"/>
      <c r="V414" s="18"/>
      <c r="Z414" s="18"/>
      <c r="AA414" s="18"/>
      <c r="AB414" s="18"/>
      <c r="AC414" s="18"/>
      <c r="AD414" s="18"/>
      <c r="AE414" s="19"/>
      <c r="AF414" s="18"/>
      <c r="AG414" s="18"/>
      <c r="AH414" s="18"/>
      <c r="AI414" s="18"/>
      <c r="AJ414" s="18"/>
      <c r="AK414" s="18"/>
      <c r="AL414" s="18"/>
      <c r="AM414" s="18"/>
      <c r="AN414" s="18"/>
      <c r="AO414" s="18"/>
      <c r="AP414" s="18"/>
      <c r="AQ414" s="18"/>
      <c r="AR414" s="18"/>
      <c r="AS414" s="18"/>
      <c r="AT414" s="18"/>
      <c r="AU414" s="18"/>
      <c r="AV414" s="18"/>
      <c r="AW414" s="18"/>
      <c r="AX414" s="18"/>
      <c r="AY414" s="18"/>
      <c r="AZ414" s="18"/>
      <c r="BA414" s="18"/>
      <c r="BB414" s="18"/>
      <c r="BC414" s="18"/>
      <c r="BD414" s="18"/>
      <c r="BE414" s="18"/>
      <c r="BF414" s="18"/>
    </row>
    <row r="415" spans="18:58">
      <c r="R415" s="194"/>
      <c r="V415" s="18"/>
      <c r="Z415" s="18"/>
      <c r="AA415" s="18"/>
      <c r="AB415" s="18"/>
      <c r="AC415" s="18"/>
      <c r="AD415" s="18"/>
      <c r="AE415" s="19"/>
      <c r="AF415" s="18"/>
      <c r="AG415" s="18"/>
      <c r="AH415" s="18"/>
      <c r="AI415" s="18"/>
      <c r="AJ415" s="18"/>
      <c r="AK415" s="18"/>
      <c r="AL415" s="18"/>
      <c r="AM415" s="18"/>
      <c r="AN415" s="18"/>
      <c r="AO415" s="18"/>
      <c r="AP415" s="18"/>
      <c r="AQ415" s="18"/>
      <c r="AR415" s="18"/>
      <c r="AS415" s="18"/>
      <c r="AT415" s="18"/>
      <c r="AU415" s="18"/>
      <c r="AV415" s="18"/>
      <c r="AW415" s="18"/>
      <c r="AX415" s="18"/>
      <c r="AY415" s="18"/>
      <c r="AZ415" s="18"/>
      <c r="BA415" s="18"/>
      <c r="BB415" s="18"/>
      <c r="BC415" s="18"/>
      <c r="BD415" s="18"/>
      <c r="BE415" s="18"/>
      <c r="BF415" s="18"/>
    </row>
    <row r="416" spans="18:58">
      <c r="R416" s="194"/>
      <c r="V416" s="18"/>
      <c r="Z416" s="18"/>
      <c r="AA416" s="18"/>
      <c r="AB416" s="18"/>
      <c r="AC416" s="18"/>
      <c r="AD416" s="18"/>
      <c r="AE416" s="19"/>
      <c r="AF416" s="18"/>
      <c r="AG416" s="18"/>
      <c r="AH416" s="18"/>
      <c r="AI416" s="18"/>
      <c r="AJ416" s="18"/>
      <c r="AK416" s="18"/>
      <c r="AL416" s="18"/>
      <c r="AM416" s="18"/>
      <c r="AN416" s="18"/>
      <c r="AO416" s="18"/>
      <c r="AP416" s="18"/>
      <c r="AQ416" s="18"/>
      <c r="AR416" s="18"/>
      <c r="AS416" s="18"/>
      <c r="AT416" s="18"/>
      <c r="AU416" s="18"/>
      <c r="AV416" s="18"/>
      <c r="AW416" s="18"/>
      <c r="AX416" s="18"/>
      <c r="AY416" s="18"/>
      <c r="AZ416" s="18"/>
      <c r="BA416" s="18"/>
      <c r="BB416" s="18"/>
      <c r="BC416" s="18"/>
      <c r="BD416" s="18"/>
      <c r="BE416" s="18"/>
      <c r="BF416" s="18"/>
    </row>
    <row r="417" spans="18:58">
      <c r="R417" s="194"/>
      <c r="V417" s="18"/>
      <c r="Z417" s="18"/>
      <c r="AA417" s="18"/>
      <c r="AB417" s="18"/>
      <c r="AC417" s="18"/>
      <c r="AD417" s="18"/>
      <c r="AE417" s="19"/>
      <c r="AF417" s="18"/>
      <c r="AG417" s="18"/>
      <c r="AH417" s="18"/>
      <c r="AI417" s="18"/>
      <c r="AJ417" s="18"/>
      <c r="AK417" s="18"/>
      <c r="AL417" s="18"/>
      <c r="AM417" s="18"/>
      <c r="AN417" s="18"/>
      <c r="AO417" s="18"/>
      <c r="AP417" s="18"/>
      <c r="AQ417" s="18"/>
      <c r="AR417" s="18"/>
      <c r="AS417" s="18"/>
      <c r="AT417" s="18"/>
      <c r="AU417" s="18"/>
      <c r="AV417" s="18"/>
      <c r="AW417" s="18"/>
      <c r="AX417" s="18"/>
      <c r="AY417" s="18"/>
      <c r="AZ417" s="18"/>
      <c r="BA417" s="18"/>
      <c r="BB417" s="18"/>
      <c r="BC417" s="18"/>
      <c r="BD417" s="18"/>
      <c r="BE417" s="18"/>
      <c r="BF417" s="18"/>
    </row>
    <row r="418" spans="18:58">
      <c r="R418" s="194"/>
      <c r="V418" s="18"/>
      <c r="Z418" s="18"/>
      <c r="AA418" s="18"/>
      <c r="AB418" s="18"/>
      <c r="AC418" s="18"/>
      <c r="AD418" s="18"/>
      <c r="AE418" s="19"/>
      <c r="AF418" s="18"/>
      <c r="AG418" s="18"/>
      <c r="AH418" s="18"/>
      <c r="AI418" s="18"/>
      <c r="AJ418" s="18"/>
      <c r="AK418" s="18"/>
      <c r="AL418" s="18"/>
      <c r="AM418" s="18"/>
      <c r="AN418" s="18"/>
      <c r="AO418" s="18"/>
      <c r="AP418" s="18"/>
      <c r="AQ418" s="18"/>
      <c r="AR418" s="18"/>
      <c r="AS418" s="18"/>
      <c r="AT418" s="18"/>
      <c r="AU418" s="18"/>
      <c r="AV418" s="18"/>
      <c r="AW418" s="18"/>
      <c r="AX418" s="18"/>
      <c r="AY418" s="18"/>
      <c r="AZ418" s="18"/>
      <c r="BA418" s="18"/>
      <c r="BB418" s="18"/>
      <c r="BC418" s="18"/>
      <c r="BD418" s="18"/>
      <c r="BE418" s="18"/>
      <c r="BF418" s="18"/>
    </row>
    <row r="419" spans="18:58">
      <c r="R419" s="194"/>
      <c r="V419" s="18"/>
      <c r="Z419" s="18"/>
      <c r="AA419" s="18"/>
      <c r="AB419" s="18"/>
      <c r="AC419" s="18"/>
      <c r="AD419" s="18"/>
      <c r="AE419" s="19"/>
      <c r="AF419" s="18"/>
      <c r="AG419" s="18"/>
      <c r="AH419" s="18"/>
      <c r="AI419" s="18"/>
      <c r="AJ419" s="18"/>
      <c r="AK419" s="18"/>
      <c r="AL419" s="18"/>
      <c r="AM419" s="18"/>
      <c r="AN419" s="18"/>
      <c r="AO419" s="18"/>
      <c r="AP419" s="18"/>
      <c r="AQ419" s="18"/>
      <c r="AR419" s="18"/>
      <c r="AS419" s="18"/>
      <c r="AT419" s="18"/>
      <c r="AU419" s="18"/>
      <c r="AV419" s="18"/>
      <c r="AW419" s="18"/>
      <c r="AX419" s="18"/>
      <c r="AY419" s="18"/>
      <c r="AZ419" s="18"/>
      <c r="BA419" s="18"/>
      <c r="BB419" s="18"/>
      <c r="BC419" s="18"/>
      <c r="BD419" s="18"/>
      <c r="BE419" s="18"/>
      <c r="BF419" s="18"/>
    </row>
    <row r="420" spans="18:58">
      <c r="R420" s="194"/>
      <c r="V420" s="18"/>
      <c r="Z420" s="18"/>
      <c r="AA420" s="18"/>
      <c r="AB420" s="18"/>
      <c r="AC420" s="18"/>
      <c r="AD420" s="18"/>
      <c r="AE420" s="19"/>
      <c r="AF420" s="18"/>
      <c r="AG420" s="18"/>
      <c r="AH420" s="18"/>
      <c r="AI420" s="18"/>
      <c r="AJ420" s="18"/>
      <c r="AK420" s="18"/>
      <c r="AL420" s="18"/>
      <c r="AM420" s="18"/>
      <c r="AN420" s="18"/>
      <c r="AO420" s="18"/>
      <c r="AP420" s="18"/>
      <c r="AQ420" s="18"/>
      <c r="AR420" s="18"/>
      <c r="AS420" s="18"/>
      <c r="AT420" s="18"/>
      <c r="AU420" s="18"/>
      <c r="AV420" s="18"/>
      <c r="AW420" s="18"/>
      <c r="AX420" s="18"/>
      <c r="AY420" s="18"/>
      <c r="AZ420" s="18"/>
      <c r="BA420" s="18"/>
      <c r="BB420" s="18"/>
      <c r="BC420" s="18"/>
      <c r="BD420" s="18"/>
      <c r="BE420" s="18"/>
      <c r="BF420" s="18"/>
    </row>
    <row r="421" spans="18:58">
      <c r="R421" s="194"/>
      <c r="V421" s="18"/>
      <c r="Z421" s="18"/>
      <c r="AA421" s="18"/>
      <c r="AB421" s="18"/>
      <c r="AC421" s="18"/>
      <c r="AD421" s="18"/>
      <c r="AE421" s="19"/>
      <c r="AF421" s="18"/>
      <c r="AG421" s="18"/>
      <c r="AH421" s="18"/>
      <c r="AI421" s="18"/>
      <c r="AJ421" s="18"/>
      <c r="AK421" s="18"/>
      <c r="AL421" s="18"/>
      <c r="AM421" s="18"/>
      <c r="AN421" s="18"/>
      <c r="AO421" s="18"/>
      <c r="AP421" s="18"/>
      <c r="AQ421" s="18"/>
      <c r="AR421" s="18"/>
      <c r="AS421" s="18"/>
      <c r="AT421" s="18"/>
      <c r="AU421" s="18"/>
      <c r="AV421" s="18"/>
      <c r="AW421" s="18"/>
      <c r="AX421" s="18"/>
      <c r="AY421" s="18"/>
      <c r="AZ421" s="18"/>
      <c r="BA421" s="18"/>
      <c r="BB421" s="18"/>
      <c r="BC421" s="18"/>
      <c r="BD421" s="18"/>
      <c r="BE421" s="18"/>
      <c r="BF421" s="18"/>
    </row>
    <row r="422" spans="26:58">
      <c r="Z422" s="18"/>
      <c r="AA422" s="18"/>
      <c r="AB422" s="18"/>
      <c r="AC422" s="18"/>
      <c r="AD422" s="18"/>
      <c r="AE422" s="19"/>
      <c r="AF422" s="18"/>
      <c r="AG422" s="18"/>
      <c r="AH422" s="18"/>
      <c r="AI422" s="18"/>
      <c r="AJ422" s="18"/>
      <c r="AK422" s="18"/>
      <c r="AL422" s="18"/>
      <c r="AM422" s="18"/>
      <c r="AN422" s="18"/>
      <c r="AO422" s="18"/>
      <c r="AP422" s="18"/>
      <c r="AQ422" s="18"/>
      <c r="AR422" s="18"/>
      <c r="AS422" s="18"/>
      <c r="AT422" s="18"/>
      <c r="AU422" s="18"/>
      <c r="AV422" s="18"/>
      <c r="AW422" s="18"/>
      <c r="AX422" s="18"/>
      <c r="AY422" s="18"/>
      <c r="AZ422" s="18"/>
      <c r="BA422" s="18"/>
      <c r="BB422" s="18"/>
      <c r="BC422" s="18"/>
      <c r="BD422" s="18"/>
      <c r="BE422" s="18"/>
      <c r="BF422" s="18"/>
    </row>
    <row r="423" spans="28:28">
      <c r="AB423" s="18"/>
    </row>
  </sheetData>
  <mergeCells count="15">
    <mergeCell ref="B1:D1"/>
    <mergeCell ref="E1:L1"/>
    <mergeCell ref="G8:J8"/>
    <mergeCell ref="L8:M8"/>
    <mergeCell ref="G9:J9"/>
    <mergeCell ref="L9:M9"/>
    <mergeCell ref="L10:M10"/>
    <mergeCell ref="L11:M11"/>
    <mergeCell ref="G12:J12"/>
    <mergeCell ref="L13:M13"/>
    <mergeCell ref="C15:C20"/>
    <mergeCell ref="AA16:AC18"/>
    <mergeCell ref="A24:M25"/>
    <mergeCell ref="A26:M27"/>
    <mergeCell ref="D15:L20"/>
  </mergeCells>
  <dataValidations count="10">
    <dataValidation type="custom" allowBlank="1" showInputMessage="1" showErrorMessage="1" errorTitle="ERROR" error="1. The horizontal pixels must be less than 7680, and it must be a multiple of 4.&#10;2. The maximum height：1080x7680@60Hz." sqref="C2">
      <formula1>AND(MOD(C2,4)=0,C2&lt;=7680)</formula1>
    </dataValidation>
    <dataValidation type="custom" showInputMessage="1" showErrorMessage="1" errorTitle="Invalid Entry!" error="Please enter Y or N (Yes/No)." sqref="K10 JG10 TC10 ACY10 AMU10 AWQ10 BGM10 BQI10 CAE10 CKA10 CTW10 DDS10 DNO10 DXK10 EHG10 ERC10 FAY10 FKU10 FUQ10 GEM10 GOI10 GYE10 HIA10 HRW10 IBS10 ILO10 IVK10 JFG10 JPC10 JYY10 KIU10 KSQ10 LCM10 LMI10 LWE10 MGA10 MPW10 MZS10 NJO10 NTK10 ODG10 ONC10 OWY10 PGU10 PQQ10 QAM10 QKI10 QUE10 REA10 RNW10 RXS10 SHO10 SRK10 TBG10 TLC10 TUY10 UEU10 UOQ10 UYM10 VII10 VSE10 WCA10 WLW10 WVS10 K65546 JG65546 TC65546 ACY65546 AMU65546 AWQ65546 BGM65546 BQI65546 CAE65546 CKA65546 CTW65546 DDS65546 DNO65546 DXK65546 EHG65546 ERC65546 FAY65546 FKU65546 FUQ65546 GEM65546 GOI65546 GYE65546 HIA65546 HRW65546 IBS65546 ILO65546 IVK65546 JFG65546 JPC65546 JYY65546 KIU65546 KSQ65546 LCM65546 LMI65546 LWE65546 MGA65546 MPW65546 MZS65546 NJO65546 NTK65546 ODG65546 ONC65546 OWY65546 PGU65546 PQQ65546 QAM65546 QKI65546 QUE65546 REA65546 RNW65546 RXS65546 SHO65546 SRK65546 TBG65546 TLC65546 TUY65546 UEU65546 UOQ65546 UYM65546 VII65546 VSE65546 WCA65546 WLW65546 WVS65546 K131082 JG131082 TC131082 ACY131082 AMU131082 AWQ131082 BGM131082 BQI131082 CAE131082 CKA131082 CTW131082 DDS131082 DNO131082 DXK131082 EHG131082 ERC131082 FAY131082 FKU131082 FUQ131082 GEM131082 GOI131082 GYE131082 HIA131082 HRW131082 IBS131082 ILO131082 IVK131082 JFG131082 JPC131082 JYY131082 KIU131082 KSQ131082 LCM131082 LMI131082 LWE131082 MGA131082 MPW131082 MZS131082 NJO131082 NTK131082 ODG131082 ONC131082 OWY131082 PGU131082 PQQ131082 QAM131082 QKI131082 QUE131082 REA131082 RNW131082 RXS131082 SHO131082 SRK131082 TBG131082 TLC131082 TUY131082 UEU131082 UOQ131082 UYM131082 VII131082 VSE131082 WCA131082 WLW131082 WVS131082 K196618 JG196618 TC196618 ACY196618 AMU196618 AWQ196618 BGM196618 BQI196618 CAE196618 CKA196618 CTW196618 DDS196618 DNO196618 DXK196618 EHG196618 ERC196618 FAY196618 FKU196618 FUQ196618 GEM196618 GOI196618 GYE196618 HIA196618 HRW196618 IBS196618 ILO196618 IVK196618 JFG196618 JPC196618 JYY196618 KIU196618 KSQ196618 LCM196618 LMI196618 LWE196618 MGA196618 MPW196618 MZS196618 NJO196618 NTK196618 ODG196618 ONC196618 OWY196618 PGU196618 PQQ196618 QAM196618 QKI196618 QUE196618 REA196618 RNW196618 RXS196618 SHO196618 SRK196618 TBG196618 TLC196618 TUY196618 UEU196618 UOQ196618 UYM196618 VII196618 VSE196618 WCA196618 WLW196618 WVS196618 K262154 JG262154 TC262154 ACY262154 AMU262154 AWQ262154 BGM262154 BQI262154 CAE262154 CKA262154 CTW262154 DDS262154 DNO262154 DXK262154 EHG262154 ERC262154 FAY262154 FKU262154 FUQ262154 GEM262154 GOI262154 GYE262154 HIA262154 HRW262154 IBS262154 ILO262154 IVK262154 JFG262154 JPC262154 JYY262154 KIU262154 KSQ262154 LCM262154 LMI262154 LWE262154 MGA262154 MPW262154 MZS262154 NJO262154 NTK262154 ODG262154 ONC262154 OWY262154 PGU262154 PQQ262154 QAM262154 QKI262154 QUE262154 REA262154 RNW262154 RXS262154 SHO262154 SRK262154 TBG262154 TLC262154 TUY262154 UEU262154 UOQ262154 UYM262154 VII262154 VSE262154 WCA262154 WLW262154 WVS262154 K327690 JG327690 TC327690 ACY327690 AMU327690 AWQ327690 BGM327690 BQI327690 CAE327690 CKA327690 CTW327690 DDS327690 DNO327690 DXK327690 EHG327690 ERC327690 FAY327690 FKU327690 FUQ327690 GEM327690 GOI327690 GYE327690 HIA327690 HRW327690 IBS327690 ILO327690 IVK327690 JFG327690 JPC327690 JYY327690 KIU327690 KSQ327690 LCM327690 LMI327690 LWE327690 MGA327690 MPW327690 MZS327690 NJO327690 NTK327690 ODG327690 ONC327690 OWY327690 PGU327690 PQQ327690 QAM327690 QKI327690 QUE327690 REA327690 RNW327690 RXS327690 SHO327690 SRK327690 TBG327690 TLC327690 TUY327690 UEU327690 UOQ327690 UYM327690 VII327690 VSE327690 WCA327690 WLW327690 WVS327690 K393226 JG393226 TC393226 ACY393226 AMU393226 AWQ393226 BGM393226 BQI393226 CAE393226 CKA393226 CTW393226 DDS393226 DNO393226 DXK393226 EHG393226 ERC393226 FAY393226 FKU393226 FUQ393226 GEM393226 GOI393226 GYE393226 HIA393226 HRW393226 IBS393226 ILO393226 IVK393226 JFG393226 JPC393226 JYY393226 KIU393226 KSQ393226 LCM393226 LMI393226 LWE393226 MGA393226 MPW393226 MZS393226 NJO393226 NTK393226 ODG393226 ONC393226 OWY393226 PGU393226 PQQ393226 QAM393226 QKI393226 QUE393226 REA393226 RNW393226 RXS393226 SHO393226 SRK393226 TBG393226 TLC393226 TUY393226 UEU393226 UOQ393226 UYM393226 VII393226 VSE393226 WCA393226 WLW393226 WVS393226 K458762 JG458762 TC458762 ACY458762 AMU458762 AWQ458762 BGM458762 BQI458762 CAE458762 CKA458762 CTW458762 DDS458762 DNO458762 DXK458762 EHG458762 ERC458762 FAY458762 FKU458762 FUQ458762 GEM458762 GOI458762 GYE458762 HIA458762 HRW458762 IBS458762 ILO458762 IVK458762 JFG458762 JPC458762 JYY458762 KIU458762 KSQ458762 LCM458762 LMI458762 LWE458762 MGA458762 MPW458762 MZS458762 NJO458762 NTK458762 ODG458762 ONC458762 OWY458762 PGU458762 PQQ458762 QAM458762 QKI458762 QUE458762 REA458762 RNW458762 RXS458762 SHO458762 SRK458762 TBG458762 TLC458762 TUY458762 UEU458762 UOQ458762 UYM458762 VII458762 VSE458762 WCA458762 WLW458762 WVS458762 K524298 JG524298 TC524298 ACY524298 AMU524298 AWQ524298 BGM524298 BQI524298 CAE524298 CKA524298 CTW524298 DDS524298 DNO524298 DXK524298 EHG524298 ERC524298 FAY524298 FKU524298 FUQ524298 GEM524298 GOI524298 GYE524298 HIA524298 HRW524298 IBS524298 ILO524298 IVK524298 JFG524298 JPC524298 JYY524298 KIU524298 KSQ524298 LCM524298 LMI524298 LWE524298 MGA524298 MPW524298 MZS524298 NJO524298 NTK524298 ODG524298 ONC524298 OWY524298 PGU524298 PQQ524298 QAM524298 QKI524298 QUE524298 REA524298 RNW524298 RXS524298 SHO524298 SRK524298 TBG524298 TLC524298 TUY524298 UEU524298 UOQ524298 UYM524298 VII524298 VSE524298 WCA524298 WLW524298 WVS524298 K589834 JG589834 TC589834 ACY589834 AMU589834 AWQ589834 BGM589834 BQI589834 CAE589834 CKA589834 CTW589834 DDS589834 DNO589834 DXK589834 EHG589834 ERC589834 FAY589834 FKU589834 FUQ589834 GEM589834 GOI589834 GYE589834 HIA589834 HRW589834 IBS589834 ILO589834 IVK589834 JFG589834 JPC589834 JYY589834 KIU589834 KSQ589834 LCM589834 LMI589834 LWE589834 MGA589834 MPW589834 MZS589834 NJO589834 NTK589834 ODG589834 ONC589834 OWY589834 PGU589834 PQQ589834 QAM589834 QKI589834 QUE589834 REA589834 RNW589834 RXS589834 SHO589834 SRK589834 TBG589834 TLC589834 TUY589834 UEU589834 UOQ589834 UYM589834 VII589834 VSE589834 WCA589834 WLW589834 WVS589834 K655370 JG655370 TC655370 ACY655370 AMU655370 AWQ655370 BGM655370 BQI655370 CAE655370 CKA655370 CTW655370 DDS655370 DNO655370 DXK655370 EHG655370 ERC655370 FAY655370 FKU655370 FUQ655370 GEM655370 GOI655370 GYE655370 HIA655370 HRW655370 IBS655370 ILO655370 IVK655370 JFG655370 JPC655370 JYY655370 KIU655370 KSQ655370 LCM655370 LMI655370 LWE655370 MGA655370 MPW655370 MZS655370 NJO655370 NTK655370 ODG655370 ONC655370 OWY655370 PGU655370 PQQ655370 QAM655370 QKI655370 QUE655370 REA655370 RNW655370 RXS655370 SHO655370 SRK655370 TBG655370 TLC655370 TUY655370 UEU655370 UOQ655370 UYM655370 VII655370 VSE655370 WCA655370 WLW655370 WVS655370 K720906 JG720906 TC720906 ACY720906 AMU720906 AWQ720906 BGM720906 BQI720906 CAE720906 CKA720906 CTW720906 DDS720906 DNO720906 DXK720906 EHG720906 ERC720906 FAY720906 FKU720906 FUQ720906 GEM720906 GOI720906 GYE720906 HIA720906 HRW720906 IBS720906 ILO720906 IVK720906 JFG720906 JPC720906 JYY720906 KIU720906 KSQ720906 LCM720906 LMI720906 LWE720906 MGA720906 MPW720906 MZS720906 NJO720906 NTK720906 ODG720906 ONC720906 OWY720906 PGU720906 PQQ720906 QAM720906 QKI720906 QUE720906 REA720906 RNW720906 RXS720906 SHO720906 SRK720906 TBG720906 TLC720906 TUY720906 UEU720906 UOQ720906 UYM720906 VII720906 VSE720906 WCA720906 WLW720906 WVS720906 K786442 JG786442 TC786442 ACY786442 AMU786442 AWQ786442 BGM786442 BQI786442 CAE786442 CKA786442 CTW786442 DDS786442 DNO786442 DXK786442 EHG786442 ERC786442 FAY786442 FKU786442 FUQ786442 GEM786442 GOI786442 GYE786442 HIA786442 HRW786442 IBS786442 ILO786442 IVK786442 JFG786442 JPC786442 JYY786442 KIU786442 KSQ786442 LCM786442 LMI786442 LWE786442 MGA786442 MPW786442 MZS786442 NJO786442 NTK786442 ODG786442 ONC786442 OWY786442 PGU786442 PQQ786442 QAM786442 QKI786442 QUE786442 REA786442 RNW786442 RXS786442 SHO786442 SRK786442 TBG786442 TLC786442 TUY786442 UEU786442 UOQ786442 UYM786442 VII786442 VSE786442 WCA786442 WLW786442 WVS786442 K851978 JG851978 TC851978 ACY851978 AMU851978 AWQ851978 BGM851978 BQI851978 CAE851978 CKA851978 CTW851978 DDS851978 DNO851978 DXK851978 EHG851978 ERC851978 FAY851978 FKU851978 FUQ851978 GEM851978 GOI851978 GYE851978 HIA851978 HRW851978 IBS851978 ILO851978 IVK851978 JFG851978 JPC851978 JYY851978 KIU851978 KSQ851978 LCM851978 LMI851978 LWE851978 MGA851978 MPW851978 MZS851978 NJO851978 NTK851978 ODG851978 ONC851978 OWY851978 PGU851978 PQQ851978 QAM851978 QKI851978 QUE851978 REA851978 RNW851978 RXS851978 SHO851978 SRK851978 TBG851978 TLC851978 TUY851978 UEU851978 UOQ851978 UYM851978 VII851978 VSE851978 WCA851978 WLW851978 WVS851978 K917514 JG917514 TC917514 ACY917514 AMU917514 AWQ917514 BGM917514 BQI917514 CAE917514 CKA917514 CTW917514 DDS917514 DNO917514 DXK917514 EHG917514 ERC917514 FAY917514 FKU917514 FUQ917514 GEM917514 GOI917514 GYE917514 HIA917514 HRW917514 IBS917514 ILO917514 IVK917514 JFG917514 JPC917514 JYY917514 KIU917514 KSQ917514 LCM917514 LMI917514 LWE917514 MGA917514 MPW917514 MZS917514 NJO917514 NTK917514 ODG917514 ONC917514 OWY917514 PGU917514 PQQ917514 QAM917514 QKI917514 QUE917514 REA917514 RNW917514 RXS917514 SHO917514 SRK917514 TBG917514 TLC917514 TUY917514 UEU917514 UOQ917514 UYM917514 VII917514 VSE917514 WCA917514 WLW917514 WVS917514 K983050 JG983050 TC983050 ACY983050 AMU983050 AWQ983050 BGM983050 BQI983050 CAE983050 CKA983050 CTW983050 DDS983050 DNO983050 DXK983050 EHG983050 ERC983050 FAY983050 FKU983050 FUQ983050 GEM983050 GOI983050 GYE983050 HIA983050 HRW983050 IBS983050 ILO983050 IVK983050 JFG983050 JPC983050 JYY983050 KIU983050 KSQ983050 LCM983050 LMI983050 LWE983050 MGA983050 MPW983050 MZS983050 NJO983050 NTK983050 ODG983050 ONC983050 OWY983050 PGU983050 PQQ983050 QAM983050 QKI983050 QUE983050 REA983050 RNW983050 RXS983050 SHO983050 SRK983050 TBG983050 TLC983050 TUY983050 UEU983050 UOQ983050 UYM983050 VII983050 VSE983050 WCA983050 WLW983050 WVS983050">
      <formula1>OR(K10="Y",K10="N")</formula1>
    </dataValidation>
    <dataValidation type="custom" allowBlank="1" showInputMessage="1" showErrorMessage="1" errorTitle="不支持的水平分辨率。" error="1. 水平分辨率必须小于7680点，且需保证水平点数为4的倍数。&#10;2. 极限最高：1080X7680@60Hz。" sqref="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C65538 IY65538 SU65538 ACQ65538 AMM65538 AWI65538 BGE65538 BQA65538 BZW65538 CJS65538 CTO65538 DDK65538 DNG65538 DXC65538 EGY65538 EQU65538 FAQ65538 FKM65538 FUI65538 GEE65538 GOA65538 GXW65538 HHS65538 HRO65538 IBK65538 ILG65538 IVC65538 JEY65538 JOU65538 JYQ65538 KIM65538 KSI65538 LCE65538 LMA65538 LVW65538 MFS65538 MPO65538 MZK65538 NJG65538 NTC65538 OCY65538 OMU65538 OWQ65538 PGM65538 PQI65538 QAE65538 QKA65538 QTW65538 RDS65538 RNO65538 RXK65538 SHG65538 SRC65538 TAY65538 TKU65538 TUQ65538 UEM65538 UOI65538 UYE65538 VIA65538 VRW65538 WBS65538 WLO65538 WVK65538 C131074 IY131074 SU131074 ACQ131074 AMM131074 AWI131074 BGE131074 BQA131074 BZW131074 CJS131074 CTO131074 DDK131074 DNG131074 DXC131074 EGY131074 EQU131074 FAQ131074 FKM131074 FUI131074 GEE131074 GOA131074 GXW131074 HHS131074 HRO131074 IBK131074 ILG131074 IVC131074 JEY131074 JOU131074 JYQ131074 KIM131074 KSI131074 LCE131074 LMA131074 LVW131074 MFS131074 MPO131074 MZK131074 NJG131074 NTC131074 OCY131074 OMU131074 OWQ131074 PGM131074 PQI131074 QAE131074 QKA131074 QTW131074 RDS131074 RNO131074 RXK131074 SHG131074 SRC131074 TAY131074 TKU131074 TUQ131074 UEM131074 UOI131074 UYE131074 VIA131074 VRW131074 WBS131074 WLO131074 WVK131074 C196610 IY196610 SU196610 ACQ196610 AMM196610 AWI196610 BGE196610 BQA196610 BZW196610 CJS196610 CTO196610 DDK196610 DNG196610 DXC196610 EGY196610 EQU196610 FAQ196610 FKM196610 FUI196610 GEE196610 GOA196610 GXW196610 HHS196610 HRO196610 IBK196610 ILG196610 IVC196610 JEY196610 JOU196610 JYQ196610 KIM196610 KSI196610 LCE196610 LMA196610 LVW196610 MFS196610 MPO196610 MZK196610 NJG196610 NTC196610 OCY196610 OMU196610 OWQ196610 PGM196610 PQI196610 QAE196610 QKA196610 QTW196610 RDS196610 RNO196610 RXK196610 SHG196610 SRC196610 TAY196610 TKU196610 TUQ196610 UEM196610 UOI196610 UYE196610 VIA196610 VRW196610 WBS196610 WLO196610 WVK196610 C262146 IY262146 SU262146 ACQ262146 AMM262146 AWI262146 BGE262146 BQA262146 BZW262146 CJS262146 CTO262146 DDK262146 DNG262146 DXC262146 EGY262146 EQU262146 FAQ262146 FKM262146 FUI262146 GEE262146 GOA262146 GXW262146 HHS262146 HRO262146 IBK262146 ILG262146 IVC262146 JEY262146 JOU262146 JYQ262146 KIM262146 KSI262146 LCE262146 LMA262146 LVW262146 MFS262146 MPO262146 MZK262146 NJG262146 NTC262146 OCY262146 OMU262146 OWQ262146 PGM262146 PQI262146 QAE262146 QKA262146 QTW262146 RDS262146 RNO262146 RXK262146 SHG262146 SRC262146 TAY262146 TKU262146 TUQ262146 UEM262146 UOI262146 UYE262146 VIA262146 VRW262146 WBS262146 WLO262146 WVK262146 C327682 IY327682 SU327682 ACQ327682 AMM327682 AWI327682 BGE327682 BQA327682 BZW327682 CJS327682 CTO327682 DDK327682 DNG327682 DXC327682 EGY327682 EQU327682 FAQ327682 FKM327682 FUI327682 GEE327682 GOA327682 GXW327682 HHS327682 HRO327682 IBK327682 ILG327682 IVC327682 JEY327682 JOU327682 JYQ327682 KIM327682 KSI327682 LCE327682 LMA327682 LVW327682 MFS327682 MPO327682 MZK327682 NJG327682 NTC327682 OCY327682 OMU327682 OWQ327682 PGM327682 PQI327682 QAE327682 QKA327682 QTW327682 RDS327682 RNO327682 RXK327682 SHG327682 SRC327682 TAY327682 TKU327682 TUQ327682 UEM327682 UOI327682 UYE327682 VIA327682 VRW327682 WBS327682 WLO327682 WVK327682 C393218 IY393218 SU393218 ACQ393218 AMM393218 AWI393218 BGE393218 BQA393218 BZW393218 CJS393218 CTO393218 DDK393218 DNG393218 DXC393218 EGY393218 EQU393218 FAQ393218 FKM393218 FUI393218 GEE393218 GOA393218 GXW393218 HHS393218 HRO393218 IBK393218 ILG393218 IVC393218 JEY393218 JOU393218 JYQ393218 KIM393218 KSI393218 LCE393218 LMA393218 LVW393218 MFS393218 MPO393218 MZK393218 NJG393218 NTC393218 OCY393218 OMU393218 OWQ393218 PGM393218 PQI393218 QAE393218 QKA393218 QTW393218 RDS393218 RNO393218 RXK393218 SHG393218 SRC393218 TAY393218 TKU393218 TUQ393218 UEM393218 UOI393218 UYE393218 VIA393218 VRW393218 WBS393218 WLO393218 WVK393218 C458754 IY458754 SU458754 ACQ458754 AMM458754 AWI458754 BGE458754 BQA458754 BZW458754 CJS458754 CTO458754 DDK458754 DNG458754 DXC458754 EGY458754 EQU458754 FAQ458754 FKM458754 FUI458754 GEE458754 GOA458754 GXW458754 HHS458754 HRO458754 IBK458754 ILG458754 IVC458754 JEY458754 JOU458754 JYQ458754 KIM458754 KSI458754 LCE458754 LMA458754 LVW458754 MFS458754 MPO458754 MZK458754 NJG458754 NTC458754 OCY458754 OMU458754 OWQ458754 PGM458754 PQI458754 QAE458754 QKA458754 QTW458754 RDS458754 RNO458754 RXK458754 SHG458754 SRC458754 TAY458754 TKU458754 TUQ458754 UEM458754 UOI458754 UYE458754 VIA458754 VRW458754 WBS458754 WLO458754 WVK458754 C524290 IY524290 SU524290 ACQ524290 AMM524290 AWI524290 BGE524290 BQA524290 BZW524290 CJS524290 CTO524290 DDK524290 DNG524290 DXC524290 EGY524290 EQU524290 FAQ524290 FKM524290 FUI524290 GEE524290 GOA524290 GXW524290 HHS524290 HRO524290 IBK524290 ILG524290 IVC524290 JEY524290 JOU524290 JYQ524290 KIM524290 KSI524290 LCE524290 LMA524290 LVW524290 MFS524290 MPO524290 MZK524290 NJG524290 NTC524290 OCY524290 OMU524290 OWQ524290 PGM524290 PQI524290 QAE524290 QKA524290 QTW524290 RDS524290 RNO524290 RXK524290 SHG524290 SRC524290 TAY524290 TKU524290 TUQ524290 UEM524290 UOI524290 UYE524290 VIA524290 VRW524290 WBS524290 WLO524290 WVK524290 C589826 IY589826 SU589826 ACQ589826 AMM589826 AWI589826 BGE589826 BQA589826 BZW589826 CJS589826 CTO589826 DDK589826 DNG589826 DXC589826 EGY589826 EQU589826 FAQ589826 FKM589826 FUI589826 GEE589826 GOA589826 GXW589826 HHS589826 HRO589826 IBK589826 ILG589826 IVC589826 JEY589826 JOU589826 JYQ589826 KIM589826 KSI589826 LCE589826 LMA589826 LVW589826 MFS589826 MPO589826 MZK589826 NJG589826 NTC589826 OCY589826 OMU589826 OWQ589826 PGM589826 PQI589826 QAE589826 QKA589826 QTW589826 RDS589826 RNO589826 RXK589826 SHG589826 SRC589826 TAY589826 TKU589826 TUQ589826 UEM589826 UOI589826 UYE589826 VIA589826 VRW589826 WBS589826 WLO589826 WVK589826 C655362 IY655362 SU655362 ACQ655362 AMM655362 AWI655362 BGE655362 BQA655362 BZW655362 CJS655362 CTO655362 DDK655362 DNG655362 DXC655362 EGY655362 EQU655362 FAQ655362 FKM655362 FUI655362 GEE655362 GOA655362 GXW655362 HHS655362 HRO655362 IBK655362 ILG655362 IVC655362 JEY655362 JOU655362 JYQ655362 KIM655362 KSI655362 LCE655362 LMA655362 LVW655362 MFS655362 MPO655362 MZK655362 NJG655362 NTC655362 OCY655362 OMU655362 OWQ655362 PGM655362 PQI655362 QAE655362 QKA655362 QTW655362 RDS655362 RNO655362 RXK655362 SHG655362 SRC655362 TAY655362 TKU655362 TUQ655362 UEM655362 UOI655362 UYE655362 VIA655362 VRW655362 WBS655362 WLO655362 WVK655362 C720898 IY720898 SU720898 ACQ720898 AMM720898 AWI720898 BGE720898 BQA720898 BZW720898 CJS720898 CTO720898 DDK720898 DNG720898 DXC720898 EGY720898 EQU720898 FAQ720898 FKM720898 FUI720898 GEE720898 GOA720898 GXW720898 HHS720898 HRO720898 IBK720898 ILG720898 IVC720898 JEY720898 JOU720898 JYQ720898 KIM720898 KSI720898 LCE720898 LMA720898 LVW720898 MFS720898 MPO720898 MZK720898 NJG720898 NTC720898 OCY720898 OMU720898 OWQ720898 PGM720898 PQI720898 QAE720898 QKA720898 QTW720898 RDS720898 RNO720898 RXK720898 SHG720898 SRC720898 TAY720898 TKU720898 TUQ720898 UEM720898 UOI720898 UYE720898 VIA720898 VRW720898 WBS720898 WLO720898 WVK720898 C786434 IY786434 SU786434 ACQ786434 AMM786434 AWI786434 BGE786434 BQA786434 BZW786434 CJS786434 CTO786434 DDK786434 DNG786434 DXC786434 EGY786434 EQU786434 FAQ786434 FKM786434 FUI786434 GEE786434 GOA786434 GXW786434 HHS786434 HRO786434 IBK786434 ILG786434 IVC786434 JEY786434 JOU786434 JYQ786434 KIM786434 KSI786434 LCE786434 LMA786434 LVW786434 MFS786434 MPO786434 MZK786434 NJG786434 NTC786434 OCY786434 OMU786434 OWQ786434 PGM786434 PQI786434 QAE786434 QKA786434 QTW786434 RDS786434 RNO786434 RXK786434 SHG786434 SRC786434 TAY786434 TKU786434 TUQ786434 UEM786434 UOI786434 UYE786434 VIA786434 VRW786434 WBS786434 WLO786434 WVK786434 C851970 IY851970 SU851970 ACQ851970 AMM851970 AWI851970 BGE851970 BQA851970 BZW851970 CJS851970 CTO851970 DDK851970 DNG851970 DXC851970 EGY851970 EQU851970 FAQ851970 FKM851970 FUI851970 GEE851970 GOA851970 GXW851970 HHS851970 HRO851970 IBK851970 ILG851970 IVC851970 JEY851970 JOU851970 JYQ851970 KIM851970 KSI851970 LCE851970 LMA851970 LVW851970 MFS851970 MPO851970 MZK851970 NJG851970 NTC851970 OCY851970 OMU851970 OWQ851970 PGM851970 PQI851970 QAE851970 QKA851970 QTW851970 RDS851970 RNO851970 RXK851970 SHG851970 SRC851970 TAY851970 TKU851970 TUQ851970 UEM851970 UOI851970 UYE851970 VIA851970 VRW851970 WBS851970 WLO851970 WVK851970 C917506 IY917506 SU917506 ACQ917506 AMM917506 AWI917506 BGE917506 BQA917506 BZW917506 CJS917506 CTO917506 DDK917506 DNG917506 DXC917506 EGY917506 EQU917506 FAQ917506 FKM917506 FUI917506 GEE917506 GOA917506 GXW917506 HHS917506 HRO917506 IBK917506 ILG917506 IVC917506 JEY917506 JOU917506 JYQ917506 KIM917506 KSI917506 LCE917506 LMA917506 LVW917506 MFS917506 MPO917506 MZK917506 NJG917506 NTC917506 OCY917506 OMU917506 OWQ917506 PGM917506 PQI917506 QAE917506 QKA917506 QTW917506 RDS917506 RNO917506 RXK917506 SHG917506 SRC917506 TAY917506 TKU917506 TUQ917506 UEM917506 UOI917506 UYE917506 VIA917506 VRW917506 WBS917506 WLO917506 WVK917506 C983042 IY983042 SU983042 ACQ983042 AMM983042 AWI983042 BGE983042 BQA983042 BZW983042 CJS983042 CTO983042 DDK983042 DNG983042 DXC983042 EGY983042 EQU983042 FAQ983042 FKM983042 FUI983042 GEE983042 GOA983042 GXW983042 HHS983042 HRO983042 IBK983042 ILG983042 IVC983042 JEY983042 JOU983042 JYQ983042 KIM983042 KSI983042 LCE983042 LMA983042 LVW983042 MFS983042 MPO983042 MZK983042 NJG983042 NTC983042 OCY983042 OMU983042 OWQ983042 PGM983042 PQI983042 QAE983042 QKA983042 QTW983042 RDS983042 RNO983042 RXK983042 SHG983042 SRC983042 TAY983042 TKU983042 TUQ983042 UEM983042 UOI983042 UYE983042 VIA983042 VRW983042 WBS983042 WLO983042 WVK983042">
      <formula1>AND(MOD(C2,4)=0,C2&lt;=7680)</formula1>
    </dataValidation>
    <dataValidation type="decimal" operator="between" allowBlank="1" showInputMessage="1" showErrorMessage="1" errorTitle="ERROR" error="The vertical lines must be less than or equal to 7680." sqref="C3">
      <formula1>64</formula1>
      <formula2>7680</formula2>
    </dataValidation>
    <dataValidation type="custom" allowBlank="1" showInputMessage="1" showErrorMessage="1" errorTitle="Invalid Entry!" error="Please enter Y or N (Yes/No)." sqref="K11 JG11 TC11 ACY11 AMU11 AWQ11 BGM11 BQI11 CAE11 CKA11 CTW11 DDS11 DNO11 DXK11 EHG11 ERC11 FAY11 FKU11 FUQ11 GEM11 GOI11 GYE11 HIA11 HRW11 IBS11 ILO11 IVK11 JFG11 JPC11 JYY11 KIU11 KSQ11 LCM11 LMI11 LWE11 MGA11 MPW11 MZS11 NJO11 NTK11 ODG11 ONC11 OWY11 PGU11 PQQ11 QAM11 QKI11 QUE11 REA11 RNW11 RXS11 SHO11 SRK11 TBG11 TLC11 TUY11 UEU11 UOQ11 UYM11 VII11 VSE11 WCA11 WLW11 WVS11 K13 JG13 TC13 ACY13 AMU13 AWQ13 BGM13 BQI13 CAE13 CKA13 CTW13 DDS13 DNO13 DXK13 EHG13 ERC13 FAY13 FKU13 FUQ13 GEM13 GOI13 GYE13 HIA13 HRW13 IBS13 ILO13 IVK13 JFG13 JPC13 JYY13 KIU13 KSQ13 LCM13 LMI13 LWE13 MGA13 MPW13 MZS13 NJO13 NTK13 ODG13 ONC13 OWY13 PGU13 PQQ13 QAM13 QKI13 QUE13 REA13 RNW13 RXS13 SHO13 SRK13 TBG13 TLC13 TUY13 UEU13 UOQ13 UYM13 VII13 VSE13 WCA13 WLW13 WVS13 K65547 JG65547 TC65547 ACY65547 AMU65547 AWQ65547 BGM65547 BQI65547 CAE65547 CKA65547 CTW65547 DDS65547 DNO65547 DXK65547 EHG65547 ERC65547 FAY65547 FKU65547 FUQ65547 GEM65547 GOI65547 GYE65547 HIA65547 HRW65547 IBS65547 ILO65547 IVK65547 JFG65547 JPC65547 JYY65547 KIU65547 KSQ65547 LCM65547 LMI65547 LWE65547 MGA65547 MPW65547 MZS65547 NJO65547 NTK65547 ODG65547 ONC65547 OWY65547 PGU65547 PQQ65547 QAM65547 QKI65547 QUE65547 REA65547 RNW65547 RXS65547 SHO65547 SRK65547 TBG65547 TLC65547 TUY65547 UEU65547 UOQ65547 UYM65547 VII65547 VSE65547 WCA65547 WLW65547 WVS65547 K65549 JG65549 TC65549 ACY65549 AMU65549 AWQ65549 BGM65549 BQI65549 CAE65549 CKA65549 CTW65549 DDS65549 DNO65549 DXK65549 EHG65549 ERC65549 FAY65549 FKU65549 FUQ65549 GEM65549 GOI65549 GYE65549 HIA65549 HRW65549 IBS65549 ILO65549 IVK65549 JFG65549 JPC65549 JYY65549 KIU65549 KSQ65549 LCM65549 LMI65549 LWE65549 MGA65549 MPW65549 MZS65549 NJO65549 NTK65549 ODG65549 ONC65549 OWY65549 PGU65549 PQQ65549 QAM65549 QKI65549 QUE65549 REA65549 RNW65549 RXS65549 SHO65549 SRK65549 TBG65549 TLC65549 TUY65549 UEU65549 UOQ65549 UYM65549 VII65549 VSE65549 WCA65549 WLW65549 WVS65549 K131083 JG131083 TC131083 ACY131083 AMU131083 AWQ131083 BGM131083 BQI131083 CAE131083 CKA131083 CTW131083 DDS131083 DNO131083 DXK131083 EHG131083 ERC131083 FAY131083 FKU131083 FUQ131083 GEM131083 GOI131083 GYE131083 HIA131083 HRW131083 IBS131083 ILO131083 IVK131083 JFG131083 JPC131083 JYY131083 KIU131083 KSQ131083 LCM131083 LMI131083 LWE131083 MGA131083 MPW131083 MZS131083 NJO131083 NTK131083 ODG131083 ONC131083 OWY131083 PGU131083 PQQ131083 QAM131083 QKI131083 QUE131083 REA131083 RNW131083 RXS131083 SHO131083 SRK131083 TBG131083 TLC131083 TUY131083 UEU131083 UOQ131083 UYM131083 VII131083 VSE131083 WCA131083 WLW131083 WVS131083 K131085 JG131085 TC131085 ACY131085 AMU131085 AWQ131085 BGM131085 BQI131085 CAE131085 CKA131085 CTW131085 DDS131085 DNO131085 DXK131085 EHG131085 ERC131085 FAY131085 FKU131085 FUQ131085 GEM131085 GOI131085 GYE131085 HIA131085 HRW131085 IBS131085 ILO131085 IVK131085 JFG131085 JPC131085 JYY131085 KIU131085 KSQ131085 LCM131085 LMI131085 LWE131085 MGA131085 MPW131085 MZS131085 NJO131085 NTK131085 ODG131085 ONC131085 OWY131085 PGU131085 PQQ131085 QAM131085 QKI131085 QUE131085 REA131085 RNW131085 RXS131085 SHO131085 SRK131085 TBG131085 TLC131085 TUY131085 UEU131085 UOQ131085 UYM131085 VII131085 VSE131085 WCA131085 WLW131085 WVS131085 K196619 JG196619 TC196619 ACY196619 AMU196619 AWQ196619 BGM196619 BQI196619 CAE196619 CKA196619 CTW196619 DDS196619 DNO196619 DXK196619 EHG196619 ERC196619 FAY196619 FKU196619 FUQ196619 GEM196619 GOI196619 GYE196619 HIA196619 HRW196619 IBS196619 ILO196619 IVK196619 JFG196619 JPC196619 JYY196619 KIU196619 KSQ196619 LCM196619 LMI196619 LWE196619 MGA196619 MPW196619 MZS196619 NJO196619 NTK196619 ODG196619 ONC196619 OWY196619 PGU196619 PQQ196619 QAM196619 QKI196619 QUE196619 REA196619 RNW196619 RXS196619 SHO196619 SRK196619 TBG196619 TLC196619 TUY196619 UEU196619 UOQ196619 UYM196619 VII196619 VSE196619 WCA196619 WLW196619 WVS196619 K196621 JG196621 TC196621 ACY196621 AMU196621 AWQ196621 BGM196621 BQI196621 CAE196621 CKA196621 CTW196621 DDS196621 DNO196621 DXK196621 EHG196621 ERC196621 FAY196621 FKU196621 FUQ196621 GEM196621 GOI196621 GYE196621 HIA196621 HRW196621 IBS196621 ILO196621 IVK196621 JFG196621 JPC196621 JYY196621 KIU196621 KSQ196621 LCM196621 LMI196621 LWE196621 MGA196621 MPW196621 MZS196621 NJO196621 NTK196621 ODG196621 ONC196621 OWY196621 PGU196621 PQQ196621 QAM196621 QKI196621 QUE196621 REA196621 RNW196621 RXS196621 SHO196621 SRK196621 TBG196621 TLC196621 TUY196621 UEU196621 UOQ196621 UYM196621 VII196621 VSE196621 WCA196621 WLW196621 WVS196621 K262155 JG262155 TC262155 ACY262155 AMU262155 AWQ262155 BGM262155 BQI262155 CAE262155 CKA262155 CTW262155 DDS262155 DNO262155 DXK262155 EHG262155 ERC262155 FAY262155 FKU262155 FUQ262155 GEM262155 GOI262155 GYE262155 HIA262155 HRW262155 IBS262155 ILO262155 IVK262155 JFG262155 JPC262155 JYY262155 KIU262155 KSQ262155 LCM262155 LMI262155 LWE262155 MGA262155 MPW262155 MZS262155 NJO262155 NTK262155 ODG262155 ONC262155 OWY262155 PGU262155 PQQ262155 QAM262155 QKI262155 QUE262155 REA262155 RNW262155 RXS262155 SHO262155 SRK262155 TBG262155 TLC262155 TUY262155 UEU262155 UOQ262155 UYM262155 VII262155 VSE262155 WCA262155 WLW262155 WVS262155 K262157 JG262157 TC262157 ACY262157 AMU262157 AWQ262157 BGM262157 BQI262157 CAE262157 CKA262157 CTW262157 DDS262157 DNO262157 DXK262157 EHG262157 ERC262157 FAY262157 FKU262157 FUQ262157 GEM262157 GOI262157 GYE262157 HIA262157 HRW262157 IBS262157 ILO262157 IVK262157 JFG262157 JPC262157 JYY262157 KIU262157 KSQ262157 LCM262157 LMI262157 LWE262157 MGA262157 MPW262157 MZS262157 NJO262157 NTK262157 ODG262157 ONC262157 OWY262157 PGU262157 PQQ262157 QAM262157 QKI262157 QUE262157 REA262157 RNW262157 RXS262157 SHO262157 SRK262157 TBG262157 TLC262157 TUY262157 UEU262157 UOQ262157 UYM262157 VII262157 VSE262157 WCA262157 WLW262157 WVS262157 K327691 JG327691 TC327691 ACY327691 AMU327691 AWQ327691 BGM327691 BQI327691 CAE327691 CKA327691 CTW327691 DDS327691 DNO327691 DXK327691 EHG327691 ERC327691 FAY327691 FKU327691 FUQ327691 GEM327691 GOI327691 GYE327691 HIA327691 HRW327691 IBS327691 ILO327691 IVK327691 JFG327691 JPC327691 JYY327691 KIU327691 KSQ327691 LCM327691 LMI327691 LWE327691 MGA327691 MPW327691 MZS327691 NJO327691 NTK327691 ODG327691 ONC327691 OWY327691 PGU327691 PQQ327691 QAM327691 QKI327691 QUE327691 REA327691 RNW327691 RXS327691 SHO327691 SRK327691 TBG327691 TLC327691 TUY327691 UEU327691 UOQ327691 UYM327691 VII327691 VSE327691 WCA327691 WLW327691 WVS327691 K327693 JG327693 TC327693 ACY327693 AMU327693 AWQ327693 BGM327693 BQI327693 CAE327693 CKA327693 CTW327693 DDS327693 DNO327693 DXK327693 EHG327693 ERC327693 FAY327693 FKU327693 FUQ327693 GEM327693 GOI327693 GYE327693 HIA327693 HRW327693 IBS327693 ILO327693 IVK327693 JFG327693 JPC327693 JYY327693 KIU327693 KSQ327693 LCM327693 LMI327693 LWE327693 MGA327693 MPW327693 MZS327693 NJO327693 NTK327693 ODG327693 ONC327693 OWY327693 PGU327693 PQQ327693 QAM327693 QKI327693 QUE327693 REA327693 RNW327693 RXS327693 SHO327693 SRK327693 TBG327693 TLC327693 TUY327693 UEU327693 UOQ327693 UYM327693 VII327693 VSE327693 WCA327693 WLW327693 WVS327693 K393227 JG393227 TC393227 ACY393227 AMU393227 AWQ393227 BGM393227 BQI393227 CAE393227 CKA393227 CTW393227 DDS393227 DNO393227 DXK393227 EHG393227 ERC393227 FAY393227 FKU393227 FUQ393227 GEM393227 GOI393227 GYE393227 HIA393227 HRW393227 IBS393227 ILO393227 IVK393227 JFG393227 JPC393227 JYY393227 KIU393227 KSQ393227 LCM393227 LMI393227 LWE393227 MGA393227 MPW393227 MZS393227 NJO393227 NTK393227 ODG393227 ONC393227 OWY393227 PGU393227 PQQ393227 QAM393227 QKI393227 QUE393227 REA393227 RNW393227 RXS393227 SHO393227 SRK393227 TBG393227 TLC393227 TUY393227 UEU393227 UOQ393227 UYM393227 VII393227 VSE393227 WCA393227 WLW393227 WVS393227 K393229 JG393229 TC393229 ACY393229 AMU393229 AWQ393229 BGM393229 BQI393229 CAE393229 CKA393229 CTW393229 DDS393229 DNO393229 DXK393229 EHG393229 ERC393229 FAY393229 FKU393229 FUQ393229 GEM393229 GOI393229 GYE393229 HIA393229 HRW393229 IBS393229 ILO393229 IVK393229 JFG393229 JPC393229 JYY393229 KIU393229 KSQ393229 LCM393229 LMI393229 LWE393229 MGA393229 MPW393229 MZS393229 NJO393229 NTK393229 ODG393229 ONC393229 OWY393229 PGU393229 PQQ393229 QAM393229 QKI393229 QUE393229 REA393229 RNW393229 RXS393229 SHO393229 SRK393229 TBG393229 TLC393229 TUY393229 UEU393229 UOQ393229 UYM393229 VII393229 VSE393229 WCA393229 WLW393229 WVS393229 K458763 JG458763 TC458763 ACY458763 AMU458763 AWQ458763 BGM458763 BQI458763 CAE458763 CKA458763 CTW458763 DDS458763 DNO458763 DXK458763 EHG458763 ERC458763 FAY458763 FKU458763 FUQ458763 GEM458763 GOI458763 GYE458763 HIA458763 HRW458763 IBS458763 ILO458763 IVK458763 JFG458763 JPC458763 JYY458763 KIU458763 KSQ458763 LCM458763 LMI458763 LWE458763 MGA458763 MPW458763 MZS458763 NJO458763 NTK458763 ODG458763 ONC458763 OWY458763 PGU458763 PQQ458763 QAM458763 QKI458763 QUE458763 REA458763 RNW458763 RXS458763 SHO458763 SRK458763 TBG458763 TLC458763 TUY458763 UEU458763 UOQ458763 UYM458763 VII458763 VSE458763 WCA458763 WLW458763 WVS458763 K458765 JG458765 TC458765 ACY458765 AMU458765 AWQ458765 BGM458765 BQI458765 CAE458765 CKA458765 CTW458765 DDS458765 DNO458765 DXK458765 EHG458765 ERC458765 FAY458765 FKU458765 FUQ458765 GEM458765 GOI458765 GYE458765 HIA458765 HRW458765 IBS458765 ILO458765 IVK458765 JFG458765 JPC458765 JYY458765 KIU458765 KSQ458765 LCM458765 LMI458765 LWE458765 MGA458765 MPW458765 MZS458765 NJO458765 NTK458765 ODG458765 ONC458765 OWY458765 PGU458765 PQQ458765 QAM458765 QKI458765 QUE458765 REA458765 RNW458765 RXS458765 SHO458765 SRK458765 TBG458765 TLC458765 TUY458765 UEU458765 UOQ458765 UYM458765 VII458765 VSE458765 WCA458765 WLW458765 WVS458765 K524299 JG524299 TC524299 ACY524299 AMU524299 AWQ524299 BGM524299 BQI524299 CAE524299 CKA524299 CTW524299 DDS524299 DNO524299 DXK524299 EHG524299 ERC524299 FAY524299 FKU524299 FUQ524299 GEM524299 GOI524299 GYE524299 HIA524299 HRW524299 IBS524299 ILO524299 IVK524299 JFG524299 JPC524299 JYY524299 KIU524299 KSQ524299 LCM524299 LMI524299 LWE524299 MGA524299 MPW524299 MZS524299 NJO524299 NTK524299 ODG524299 ONC524299 OWY524299 PGU524299 PQQ524299 QAM524299 QKI524299 QUE524299 REA524299 RNW524299 RXS524299 SHO524299 SRK524299 TBG524299 TLC524299 TUY524299 UEU524299 UOQ524299 UYM524299 VII524299 VSE524299 WCA524299 WLW524299 WVS524299 K524301 JG524301 TC524301 ACY524301 AMU524301 AWQ524301 BGM524301 BQI524301 CAE524301 CKA524301 CTW524301 DDS524301 DNO524301 DXK524301 EHG524301 ERC524301 FAY524301 FKU524301 FUQ524301 GEM524301 GOI524301 GYE524301 HIA524301 HRW524301 IBS524301 ILO524301 IVK524301 JFG524301 JPC524301 JYY524301 KIU524301 KSQ524301 LCM524301 LMI524301 LWE524301 MGA524301 MPW524301 MZS524301 NJO524301 NTK524301 ODG524301 ONC524301 OWY524301 PGU524301 PQQ524301 QAM524301 QKI524301 QUE524301 REA524301 RNW524301 RXS524301 SHO524301 SRK524301 TBG524301 TLC524301 TUY524301 UEU524301 UOQ524301 UYM524301 VII524301 VSE524301 WCA524301 WLW524301 WVS524301 K589835 JG589835 TC589835 ACY589835 AMU589835 AWQ589835 BGM589835 BQI589835 CAE589835 CKA589835 CTW589835 DDS589835 DNO589835 DXK589835 EHG589835 ERC589835 FAY589835 FKU589835 FUQ589835 GEM589835 GOI589835 GYE589835 HIA589835 HRW589835 IBS589835 ILO589835 IVK589835 JFG589835 JPC589835 JYY589835 KIU589835 KSQ589835 LCM589835 LMI589835 LWE589835 MGA589835 MPW589835 MZS589835 NJO589835 NTK589835 ODG589835 ONC589835 OWY589835 PGU589835 PQQ589835 QAM589835 QKI589835 QUE589835 REA589835 RNW589835 RXS589835 SHO589835 SRK589835 TBG589835 TLC589835 TUY589835 UEU589835 UOQ589835 UYM589835 VII589835 VSE589835 WCA589835 WLW589835 WVS589835 K589837 JG589837 TC589837 ACY589837 AMU589837 AWQ589837 BGM589837 BQI589837 CAE589837 CKA589837 CTW589837 DDS589837 DNO589837 DXK589837 EHG589837 ERC589837 FAY589837 FKU589837 FUQ589837 GEM589837 GOI589837 GYE589837 HIA589837 HRW589837 IBS589837 ILO589837 IVK589837 JFG589837 JPC589837 JYY589837 KIU589837 KSQ589837 LCM589837 LMI589837 LWE589837 MGA589837 MPW589837 MZS589837 NJO589837 NTK589837 ODG589837 ONC589837 OWY589837 PGU589837 PQQ589837 QAM589837 QKI589837 QUE589837 REA589837 RNW589837 RXS589837 SHO589837 SRK589837 TBG589837 TLC589837 TUY589837 UEU589837 UOQ589837 UYM589837 VII589837 VSE589837 WCA589837 WLW589837 WVS589837 K655371 JG655371 TC655371 ACY655371 AMU655371 AWQ655371 BGM655371 BQI655371 CAE655371 CKA655371 CTW655371 DDS655371 DNO655371 DXK655371 EHG655371 ERC655371 FAY655371 FKU655371 FUQ655371 GEM655371 GOI655371 GYE655371 HIA655371 HRW655371 IBS655371 ILO655371 IVK655371 JFG655371 JPC655371 JYY655371 KIU655371 KSQ655371 LCM655371 LMI655371 LWE655371 MGA655371 MPW655371 MZS655371 NJO655371 NTK655371 ODG655371 ONC655371 OWY655371 PGU655371 PQQ655371 QAM655371 QKI655371 QUE655371 REA655371 RNW655371 RXS655371 SHO655371 SRK655371 TBG655371 TLC655371 TUY655371 UEU655371 UOQ655371 UYM655371 VII655371 VSE655371 WCA655371 WLW655371 WVS655371 K655373 JG655373 TC655373 ACY655373 AMU655373 AWQ655373 BGM655373 BQI655373 CAE655373 CKA655373 CTW655373 DDS655373 DNO655373 DXK655373 EHG655373 ERC655373 FAY655373 FKU655373 FUQ655373 GEM655373 GOI655373 GYE655373 HIA655373 HRW655373 IBS655373 ILO655373 IVK655373 JFG655373 JPC655373 JYY655373 KIU655373 KSQ655373 LCM655373 LMI655373 LWE655373 MGA655373 MPW655373 MZS655373 NJO655373 NTK655373 ODG655373 ONC655373 OWY655373 PGU655373 PQQ655373 QAM655373 QKI655373 QUE655373 REA655373 RNW655373 RXS655373 SHO655373 SRK655373 TBG655373 TLC655373 TUY655373 UEU655373 UOQ655373 UYM655373 VII655373 VSE655373 WCA655373 WLW655373 WVS655373 K720907 JG720907 TC720907 ACY720907 AMU720907 AWQ720907 BGM720907 BQI720907 CAE720907 CKA720907 CTW720907 DDS720907 DNO720907 DXK720907 EHG720907 ERC720907 FAY720907 FKU720907 FUQ720907 GEM720907 GOI720907 GYE720907 HIA720907 HRW720907 IBS720907 ILO720907 IVK720907 JFG720907 JPC720907 JYY720907 KIU720907 KSQ720907 LCM720907 LMI720907 LWE720907 MGA720907 MPW720907 MZS720907 NJO720907 NTK720907 ODG720907 ONC720907 OWY720907 PGU720907 PQQ720907 QAM720907 QKI720907 QUE720907 REA720907 RNW720907 RXS720907 SHO720907 SRK720907 TBG720907 TLC720907 TUY720907 UEU720907 UOQ720907 UYM720907 VII720907 VSE720907 WCA720907 WLW720907 WVS720907 K720909 JG720909 TC720909 ACY720909 AMU720909 AWQ720909 BGM720909 BQI720909 CAE720909 CKA720909 CTW720909 DDS720909 DNO720909 DXK720909 EHG720909 ERC720909 FAY720909 FKU720909 FUQ720909 GEM720909 GOI720909 GYE720909 HIA720909 HRW720909 IBS720909 ILO720909 IVK720909 JFG720909 JPC720909 JYY720909 KIU720909 KSQ720909 LCM720909 LMI720909 LWE720909 MGA720909 MPW720909 MZS720909 NJO720909 NTK720909 ODG720909 ONC720909 OWY720909 PGU720909 PQQ720909 QAM720909 QKI720909 QUE720909 REA720909 RNW720909 RXS720909 SHO720909 SRK720909 TBG720909 TLC720909 TUY720909 UEU720909 UOQ720909 UYM720909 VII720909 VSE720909 WCA720909 WLW720909 WVS720909 K786443 JG786443 TC786443 ACY786443 AMU786443 AWQ786443 BGM786443 BQI786443 CAE786443 CKA786443 CTW786443 DDS786443 DNO786443 DXK786443 EHG786443 ERC786443 FAY786443 FKU786443 FUQ786443 GEM786443 GOI786443 GYE786443 HIA786443 HRW786443 IBS786443 ILO786443 IVK786443 JFG786443 JPC786443 JYY786443 KIU786443 KSQ786443 LCM786443 LMI786443 LWE786443 MGA786443 MPW786443 MZS786443 NJO786443 NTK786443 ODG786443 ONC786443 OWY786443 PGU786443 PQQ786443 QAM786443 QKI786443 QUE786443 REA786443 RNW786443 RXS786443 SHO786443 SRK786443 TBG786443 TLC786443 TUY786443 UEU786443 UOQ786443 UYM786443 VII786443 VSE786443 WCA786443 WLW786443 WVS786443 K786445 JG786445 TC786445 ACY786445 AMU786445 AWQ786445 BGM786445 BQI786445 CAE786445 CKA786445 CTW786445 DDS786445 DNO786445 DXK786445 EHG786445 ERC786445 FAY786445 FKU786445 FUQ786445 GEM786445 GOI786445 GYE786445 HIA786445 HRW786445 IBS786445 ILO786445 IVK786445 JFG786445 JPC786445 JYY786445 KIU786445 KSQ786445 LCM786445 LMI786445 LWE786445 MGA786445 MPW786445 MZS786445 NJO786445 NTK786445 ODG786445 ONC786445 OWY786445 PGU786445 PQQ786445 QAM786445 QKI786445 QUE786445 REA786445 RNW786445 RXS786445 SHO786445 SRK786445 TBG786445 TLC786445 TUY786445 UEU786445 UOQ786445 UYM786445 VII786445 VSE786445 WCA786445 WLW786445 WVS786445 K851979 JG851979 TC851979 ACY851979 AMU851979 AWQ851979 BGM851979 BQI851979 CAE851979 CKA851979 CTW851979 DDS851979 DNO851979 DXK851979 EHG851979 ERC851979 FAY851979 FKU851979 FUQ851979 GEM851979 GOI851979 GYE851979 HIA851979 HRW851979 IBS851979 ILO851979 IVK851979 JFG851979 JPC851979 JYY851979 KIU851979 KSQ851979 LCM851979 LMI851979 LWE851979 MGA851979 MPW851979 MZS851979 NJO851979 NTK851979 ODG851979 ONC851979 OWY851979 PGU851979 PQQ851979 QAM851979 QKI851979 QUE851979 REA851979 RNW851979 RXS851979 SHO851979 SRK851979 TBG851979 TLC851979 TUY851979 UEU851979 UOQ851979 UYM851979 VII851979 VSE851979 WCA851979 WLW851979 WVS851979 K851981 JG851981 TC851981 ACY851981 AMU851981 AWQ851981 BGM851981 BQI851981 CAE851981 CKA851981 CTW851981 DDS851981 DNO851981 DXK851981 EHG851981 ERC851981 FAY851981 FKU851981 FUQ851981 GEM851981 GOI851981 GYE851981 HIA851981 HRW851981 IBS851981 ILO851981 IVK851981 JFG851981 JPC851981 JYY851981 KIU851981 KSQ851981 LCM851981 LMI851981 LWE851981 MGA851981 MPW851981 MZS851981 NJO851981 NTK851981 ODG851981 ONC851981 OWY851981 PGU851981 PQQ851981 QAM851981 QKI851981 QUE851981 REA851981 RNW851981 RXS851981 SHO851981 SRK851981 TBG851981 TLC851981 TUY851981 UEU851981 UOQ851981 UYM851981 VII851981 VSE851981 WCA851981 WLW851981 WVS851981 K917515 JG917515 TC917515 ACY917515 AMU917515 AWQ917515 BGM917515 BQI917515 CAE917515 CKA917515 CTW917515 DDS917515 DNO917515 DXK917515 EHG917515 ERC917515 FAY917515 FKU917515 FUQ917515 GEM917515 GOI917515 GYE917515 HIA917515 HRW917515 IBS917515 ILO917515 IVK917515 JFG917515 JPC917515 JYY917515 KIU917515 KSQ917515 LCM917515 LMI917515 LWE917515 MGA917515 MPW917515 MZS917515 NJO917515 NTK917515 ODG917515 ONC917515 OWY917515 PGU917515 PQQ917515 QAM917515 QKI917515 QUE917515 REA917515 RNW917515 RXS917515 SHO917515 SRK917515 TBG917515 TLC917515 TUY917515 UEU917515 UOQ917515 UYM917515 VII917515 VSE917515 WCA917515 WLW917515 WVS917515 K917517 JG917517 TC917517 ACY917517 AMU917517 AWQ917517 BGM917517 BQI917517 CAE917517 CKA917517 CTW917517 DDS917517 DNO917517 DXK917517 EHG917517 ERC917517 FAY917517 FKU917517 FUQ917517 GEM917517 GOI917517 GYE917517 HIA917517 HRW917517 IBS917517 ILO917517 IVK917517 JFG917517 JPC917517 JYY917517 KIU917517 KSQ917517 LCM917517 LMI917517 LWE917517 MGA917517 MPW917517 MZS917517 NJO917517 NTK917517 ODG917517 ONC917517 OWY917517 PGU917517 PQQ917517 QAM917517 QKI917517 QUE917517 REA917517 RNW917517 RXS917517 SHO917517 SRK917517 TBG917517 TLC917517 TUY917517 UEU917517 UOQ917517 UYM917517 VII917517 VSE917517 WCA917517 WLW917517 WVS917517 K983051 JG983051 TC983051 ACY983051 AMU983051 AWQ983051 BGM983051 BQI983051 CAE983051 CKA983051 CTW983051 DDS983051 DNO983051 DXK983051 EHG983051 ERC983051 FAY983051 FKU983051 FUQ983051 GEM983051 GOI983051 GYE983051 HIA983051 HRW983051 IBS983051 ILO983051 IVK983051 JFG983051 JPC983051 JYY983051 KIU983051 KSQ983051 LCM983051 LMI983051 LWE983051 MGA983051 MPW983051 MZS983051 NJO983051 NTK983051 ODG983051 ONC983051 OWY983051 PGU983051 PQQ983051 QAM983051 QKI983051 QUE983051 REA983051 RNW983051 RXS983051 SHO983051 SRK983051 TBG983051 TLC983051 TUY983051 UEU983051 UOQ983051 UYM983051 VII983051 VSE983051 WCA983051 WLW983051 WVS983051 K983053 JG983053 TC983053 ACY983053 AMU983053 AWQ983053 BGM983053 BQI983053 CAE983053 CKA983053 CTW983053 DDS983053 DNO983053 DXK983053 EHG983053 ERC983053 FAY983053 FKU983053 FUQ983053 GEM983053 GOI983053 GYE983053 HIA983053 HRW983053 IBS983053 ILO983053 IVK983053 JFG983053 JPC983053 JYY983053 KIU983053 KSQ983053 LCM983053 LMI983053 LWE983053 MGA983053 MPW983053 MZS983053 NJO983053 NTK983053 ODG983053 ONC983053 OWY983053 PGU983053 PQQ983053 QAM983053 QKI983053 QUE983053 REA983053 RNW983053 RXS983053 SHO983053 SRK983053 TBG983053 TLC983053 TUY983053 UEU983053 UOQ983053 UYM983053 VII983053 VSE983053 WCA983053 WLW983053 WVS983053">
      <formula1>OR(K11="Y",K11="N")</formula1>
    </dataValidation>
    <dataValidation type="decimal" operator="between" allowBlank="1" showInputMessage="1" showErrorMessage="1" errorTitle="不支持的垂直分辨率。" error="垂直分辨率必须小于等于7680行。" sqref="IY3 SU3 ACQ3 AMM3 AWI3 BGE3 BQA3 BZW3 CJS3 CTO3 DDK3 DNG3 DXC3 EGY3 EQU3 FAQ3 FKM3 FUI3 GEE3 GOA3 GXW3 HHS3 HRO3 IBK3 ILG3 IVC3 JEY3 JOU3 JYQ3 KIM3 KSI3 LCE3 LMA3 LVW3 MFS3 MPO3 MZK3 NJG3 NTC3 OCY3 OMU3 OWQ3 PGM3 PQI3 QAE3 QKA3 QTW3 RDS3 RNO3 RXK3 SHG3 SRC3 TAY3 TKU3 TUQ3 UEM3 UOI3 UYE3 VIA3 VRW3 WBS3 WLO3 WVK3 C65539 IY65539 SU65539 ACQ65539 AMM65539 AWI65539 BGE65539 BQA65539 BZW65539 CJS65539 CTO65539 DDK65539 DNG65539 DXC65539 EGY65539 EQU65539 FAQ65539 FKM65539 FUI65539 GEE65539 GOA65539 GXW65539 HHS65539 HRO65539 IBK65539 ILG65539 IVC65539 JEY65539 JOU65539 JYQ65539 KIM65539 KSI65539 LCE65539 LMA65539 LVW65539 MFS65539 MPO65539 MZK65539 NJG65539 NTC65539 OCY65539 OMU65539 OWQ65539 PGM65539 PQI65539 QAE65539 QKA65539 QTW65539 RDS65539 RNO65539 RXK65539 SHG65539 SRC65539 TAY65539 TKU65539 TUQ65539 UEM65539 UOI65539 UYE65539 VIA65539 VRW65539 WBS65539 WLO65539 WVK65539 C131075 IY131075 SU131075 ACQ131075 AMM131075 AWI131075 BGE131075 BQA131075 BZW131075 CJS131075 CTO131075 DDK131075 DNG131075 DXC131075 EGY131075 EQU131075 FAQ131075 FKM131075 FUI131075 GEE131075 GOA131075 GXW131075 HHS131075 HRO131075 IBK131075 ILG131075 IVC131075 JEY131075 JOU131075 JYQ131075 KIM131075 KSI131075 LCE131075 LMA131075 LVW131075 MFS131075 MPO131075 MZK131075 NJG131075 NTC131075 OCY131075 OMU131075 OWQ131075 PGM131075 PQI131075 QAE131075 QKA131075 QTW131075 RDS131075 RNO131075 RXK131075 SHG131075 SRC131075 TAY131075 TKU131075 TUQ131075 UEM131075 UOI131075 UYE131075 VIA131075 VRW131075 WBS131075 WLO131075 WVK131075 C196611 IY196611 SU196611 ACQ196611 AMM196611 AWI196611 BGE196611 BQA196611 BZW196611 CJS196611 CTO196611 DDK196611 DNG196611 DXC196611 EGY196611 EQU196611 FAQ196611 FKM196611 FUI196611 GEE196611 GOA196611 GXW196611 HHS196611 HRO196611 IBK196611 ILG196611 IVC196611 JEY196611 JOU196611 JYQ196611 KIM196611 KSI196611 LCE196611 LMA196611 LVW196611 MFS196611 MPO196611 MZK196611 NJG196611 NTC196611 OCY196611 OMU196611 OWQ196611 PGM196611 PQI196611 QAE196611 QKA196611 QTW196611 RDS196611 RNO196611 RXK196611 SHG196611 SRC196611 TAY196611 TKU196611 TUQ196611 UEM196611 UOI196611 UYE196611 VIA196611 VRW196611 WBS196611 WLO196611 WVK196611 C262147 IY262147 SU262147 ACQ262147 AMM262147 AWI262147 BGE262147 BQA262147 BZW262147 CJS262147 CTO262147 DDK262147 DNG262147 DXC262147 EGY262147 EQU262147 FAQ262147 FKM262147 FUI262147 GEE262147 GOA262147 GXW262147 HHS262147 HRO262147 IBK262147 ILG262147 IVC262147 JEY262147 JOU262147 JYQ262147 KIM262147 KSI262147 LCE262147 LMA262147 LVW262147 MFS262147 MPO262147 MZK262147 NJG262147 NTC262147 OCY262147 OMU262147 OWQ262147 PGM262147 PQI262147 QAE262147 QKA262147 QTW262147 RDS262147 RNO262147 RXK262147 SHG262147 SRC262147 TAY262147 TKU262147 TUQ262147 UEM262147 UOI262147 UYE262147 VIA262147 VRW262147 WBS262147 WLO262147 WVK262147 C327683 IY327683 SU327683 ACQ327683 AMM327683 AWI327683 BGE327683 BQA327683 BZW327683 CJS327683 CTO327683 DDK327683 DNG327683 DXC327683 EGY327683 EQU327683 FAQ327683 FKM327683 FUI327683 GEE327683 GOA327683 GXW327683 HHS327683 HRO327683 IBK327683 ILG327683 IVC327683 JEY327683 JOU327683 JYQ327683 KIM327683 KSI327683 LCE327683 LMA327683 LVW327683 MFS327683 MPO327683 MZK327683 NJG327683 NTC327683 OCY327683 OMU327683 OWQ327683 PGM327683 PQI327683 QAE327683 QKA327683 QTW327683 RDS327683 RNO327683 RXK327683 SHG327683 SRC327683 TAY327683 TKU327683 TUQ327683 UEM327683 UOI327683 UYE327683 VIA327683 VRW327683 WBS327683 WLO327683 WVK327683 C393219 IY393219 SU393219 ACQ393219 AMM393219 AWI393219 BGE393219 BQA393219 BZW393219 CJS393219 CTO393219 DDK393219 DNG393219 DXC393219 EGY393219 EQU393219 FAQ393219 FKM393219 FUI393219 GEE393219 GOA393219 GXW393219 HHS393219 HRO393219 IBK393219 ILG393219 IVC393219 JEY393219 JOU393219 JYQ393219 KIM393219 KSI393219 LCE393219 LMA393219 LVW393219 MFS393219 MPO393219 MZK393219 NJG393219 NTC393219 OCY393219 OMU393219 OWQ393219 PGM393219 PQI393219 QAE393219 QKA393219 QTW393219 RDS393219 RNO393219 RXK393219 SHG393219 SRC393219 TAY393219 TKU393219 TUQ393219 UEM393219 UOI393219 UYE393219 VIA393219 VRW393219 WBS393219 WLO393219 WVK393219 C458755 IY458755 SU458755 ACQ458755 AMM458755 AWI458755 BGE458755 BQA458755 BZW458755 CJS458755 CTO458755 DDK458755 DNG458755 DXC458755 EGY458755 EQU458755 FAQ458755 FKM458755 FUI458755 GEE458755 GOA458755 GXW458755 HHS458755 HRO458755 IBK458755 ILG458755 IVC458755 JEY458755 JOU458755 JYQ458755 KIM458755 KSI458755 LCE458755 LMA458755 LVW458755 MFS458755 MPO458755 MZK458755 NJG458755 NTC458755 OCY458755 OMU458755 OWQ458755 PGM458755 PQI458755 QAE458755 QKA458755 QTW458755 RDS458755 RNO458755 RXK458755 SHG458755 SRC458755 TAY458755 TKU458755 TUQ458755 UEM458755 UOI458755 UYE458755 VIA458755 VRW458755 WBS458755 WLO458755 WVK458755 C524291 IY524291 SU524291 ACQ524291 AMM524291 AWI524291 BGE524291 BQA524291 BZW524291 CJS524291 CTO524291 DDK524291 DNG524291 DXC524291 EGY524291 EQU524291 FAQ524291 FKM524291 FUI524291 GEE524291 GOA524291 GXW524291 HHS524291 HRO524291 IBK524291 ILG524291 IVC524291 JEY524291 JOU524291 JYQ524291 KIM524291 KSI524291 LCE524291 LMA524291 LVW524291 MFS524291 MPO524291 MZK524291 NJG524291 NTC524291 OCY524291 OMU524291 OWQ524291 PGM524291 PQI524291 QAE524291 QKA524291 QTW524291 RDS524291 RNO524291 RXK524291 SHG524291 SRC524291 TAY524291 TKU524291 TUQ524291 UEM524291 UOI524291 UYE524291 VIA524291 VRW524291 WBS524291 WLO524291 WVK524291 C589827 IY589827 SU589827 ACQ589827 AMM589827 AWI589827 BGE589827 BQA589827 BZW589827 CJS589827 CTO589827 DDK589827 DNG589827 DXC589827 EGY589827 EQU589827 FAQ589827 FKM589827 FUI589827 GEE589827 GOA589827 GXW589827 HHS589827 HRO589827 IBK589827 ILG589827 IVC589827 JEY589827 JOU589827 JYQ589827 KIM589827 KSI589827 LCE589827 LMA589827 LVW589827 MFS589827 MPO589827 MZK589827 NJG589827 NTC589827 OCY589827 OMU589827 OWQ589827 PGM589827 PQI589827 QAE589827 QKA589827 QTW589827 RDS589827 RNO589827 RXK589827 SHG589827 SRC589827 TAY589827 TKU589827 TUQ589827 UEM589827 UOI589827 UYE589827 VIA589827 VRW589827 WBS589827 WLO589827 WVK589827 C655363 IY655363 SU655363 ACQ655363 AMM655363 AWI655363 BGE655363 BQA655363 BZW655363 CJS655363 CTO655363 DDK655363 DNG655363 DXC655363 EGY655363 EQU655363 FAQ655363 FKM655363 FUI655363 GEE655363 GOA655363 GXW655363 HHS655363 HRO655363 IBK655363 ILG655363 IVC655363 JEY655363 JOU655363 JYQ655363 KIM655363 KSI655363 LCE655363 LMA655363 LVW655363 MFS655363 MPO655363 MZK655363 NJG655363 NTC655363 OCY655363 OMU655363 OWQ655363 PGM655363 PQI655363 QAE655363 QKA655363 QTW655363 RDS655363 RNO655363 RXK655363 SHG655363 SRC655363 TAY655363 TKU655363 TUQ655363 UEM655363 UOI655363 UYE655363 VIA655363 VRW655363 WBS655363 WLO655363 WVK655363 C720899 IY720899 SU720899 ACQ720899 AMM720899 AWI720899 BGE720899 BQA720899 BZW720899 CJS720899 CTO720899 DDK720899 DNG720899 DXC720899 EGY720899 EQU720899 FAQ720899 FKM720899 FUI720899 GEE720899 GOA720899 GXW720899 HHS720899 HRO720899 IBK720899 ILG720899 IVC720899 JEY720899 JOU720899 JYQ720899 KIM720899 KSI720899 LCE720899 LMA720899 LVW720899 MFS720899 MPO720899 MZK720899 NJG720899 NTC720899 OCY720899 OMU720899 OWQ720899 PGM720899 PQI720899 QAE720899 QKA720899 QTW720899 RDS720899 RNO720899 RXK720899 SHG720899 SRC720899 TAY720899 TKU720899 TUQ720899 UEM720899 UOI720899 UYE720899 VIA720899 VRW720899 WBS720899 WLO720899 WVK720899 C786435 IY786435 SU786435 ACQ786435 AMM786435 AWI786435 BGE786435 BQA786435 BZW786435 CJS786435 CTO786435 DDK786435 DNG786435 DXC786435 EGY786435 EQU786435 FAQ786435 FKM786435 FUI786435 GEE786435 GOA786435 GXW786435 HHS786435 HRO786435 IBK786435 ILG786435 IVC786435 JEY786435 JOU786435 JYQ786435 KIM786435 KSI786435 LCE786435 LMA786435 LVW786435 MFS786435 MPO786435 MZK786435 NJG786435 NTC786435 OCY786435 OMU786435 OWQ786435 PGM786435 PQI786435 QAE786435 QKA786435 QTW786435 RDS786435 RNO786435 RXK786435 SHG786435 SRC786435 TAY786435 TKU786435 TUQ786435 UEM786435 UOI786435 UYE786435 VIA786435 VRW786435 WBS786435 WLO786435 WVK786435 C851971 IY851971 SU851971 ACQ851971 AMM851971 AWI851971 BGE851971 BQA851971 BZW851971 CJS851971 CTO851971 DDK851971 DNG851971 DXC851971 EGY851971 EQU851971 FAQ851971 FKM851971 FUI851971 GEE851971 GOA851971 GXW851971 HHS851971 HRO851971 IBK851971 ILG851971 IVC851971 JEY851971 JOU851971 JYQ851971 KIM851971 KSI851971 LCE851971 LMA851971 LVW851971 MFS851971 MPO851971 MZK851971 NJG851971 NTC851971 OCY851971 OMU851971 OWQ851971 PGM851971 PQI851971 QAE851971 QKA851971 QTW851971 RDS851971 RNO851971 RXK851971 SHG851971 SRC851971 TAY851971 TKU851971 TUQ851971 UEM851971 UOI851971 UYE851971 VIA851971 VRW851971 WBS851971 WLO851971 WVK851971 C917507 IY917507 SU917507 ACQ917507 AMM917507 AWI917507 BGE917507 BQA917507 BZW917507 CJS917507 CTO917507 DDK917507 DNG917507 DXC917507 EGY917507 EQU917507 FAQ917507 FKM917507 FUI917507 GEE917507 GOA917507 GXW917507 HHS917507 HRO917507 IBK917507 ILG917507 IVC917507 JEY917507 JOU917507 JYQ917507 KIM917507 KSI917507 LCE917507 LMA917507 LVW917507 MFS917507 MPO917507 MZK917507 NJG917507 NTC917507 OCY917507 OMU917507 OWQ917507 PGM917507 PQI917507 QAE917507 QKA917507 QTW917507 RDS917507 RNO917507 RXK917507 SHG917507 SRC917507 TAY917507 TKU917507 TUQ917507 UEM917507 UOI917507 UYE917507 VIA917507 VRW917507 WBS917507 WLO917507 WVK917507 C983043 IY983043 SU983043 ACQ983043 AMM983043 AWI983043 BGE983043 BQA983043 BZW983043 CJS983043 CTO983043 DDK983043 DNG983043 DXC983043 EGY983043 EQU983043 FAQ983043 FKM983043 FUI983043 GEE983043 GOA983043 GXW983043 HHS983043 HRO983043 IBK983043 ILG983043 IVC983043 JEY983043 JOU983043 JYQ983043 KIM983043 KSI983043 LCE983043 LMA983043 LVW983043 MFS983043 MPO983043 MZK983043 NJG983043 NTC983043 OCY983043 OMU983043 OWQ983043 PGM983043 PQI983043 QAE983043 QKA983043 QTW983043 RDS983043 RNO983043 RXK983043 SHG983043 SRC983043 TAY983043 TKU983043 TUQ983043 UEM983043 UOI983043 UYE983043 VIA983043 VRW983043 WBS983043 WLO983043 WVK983043">
      <formula1>64</formula1>
      <formula2>7680</formula2>
    </dataValidation>
    <dataValidation type="whole" operator="between" allowBlank="1" showInputMessage="1" showErrorMessage="1" sqref="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formula1>24</formula1>
      <formula2>120</formula2>
    </dataValidation>
    <dataValidation type="whole" operator="greaterThan" showInputMessage="1" showErrorMessage="1" errorTitle="Invalid Number!" error="Horizontal Pixel value should be a whole number." promptTitle="Note:" prompt="Value will be rounded to the nearest integer number of character cells." sqref="K8 JG8 TC8 ACY8 AMU8 AWQ8 BGM8 BQI8 CAE8 CKA8 CTW8 DDS8 DNO8 DXK8 EHG8 ERC8 FAY8 FKU8 FUQ8 GEM8 GOI8 GYE8 HIA8 HRW8 IBS8 ILO8 IVK8 JFG8 JPC8 JYY8 KIU8 KSQ8 LCM8 LMI8 LWE8 MGA8 MPW8 MZS8 NJO8 NTK8 ODG8 ONC8 OWY8 PGU8 PQQ8 QAM8 QKI8 QUE8 REA8 RNW8 RXS8 SHO8 SRK8 TBG8 TLC8 TUY8 UEU8 UOQ8 UYM8 VII8 VSE8 WCA8 WLW8 WVS8 K65544 JG65544 TC65544 ACY65544 AMU65544 AWQ65544 BGM65544 BQI65544 CAE65544 CKA65544 CTW65544 DDS65544 DNO65544 DXK65544 EHG65544 ERC65544 FAY65544 FKU65544 FUQ65544 GEM65544 GOI65544 GYE65544 HIA65544 HRW65544 IBS65544 ILO65544 IVK65544 JFG65544 JPC65544 JYY65544 KIU65544 KSQ65544 LCM65544 LMI65544 LWE65544 MGA65544 MPW65544 MZS65544 NJO65544 NTK65544 ODG65544 ONC65544 OWY65544 PGU65544 PQQ65544 QAM65544 QKI65544 QUE65544 REA65544 RNW65544 RXS65544 SHO65544 SRK65544 TBG65544 TLC65544 TUY65544 UEU65544 UOQ65544 UYM65544 VII65544 VSE65544 WCA65544 WLW65544 WVS65544 K131080 JG131080 TC131080 ACY131080 AMU131080 AWQ131080 BGM131080 BQI131080 CAE131080 CKA131080 CTW131080 DDS131080 DNO131080 DXK131080 EHG131080 ERC131080 FAY131080 FKU131080 FUQ131080 GEM131080 GOI131080 GYE131080 HIA131080 HRW131080 IBS131080 ILO131080 IVK131080 JFG131080 JPC131080 JYY131080 KIU131080 KSQ131080 LCM131080 LMI131080 LWE131080 MGA131080 MPW131080 MZS131080 NJO131080 NTK131080 ODG131080 ONC131080 OWY131080 PGU131080 PQQ131080 QAM131080 QKI131080 QUE131080 REA131080 RNW131080 RXS131080 SHO131080 SRK131080 TBG131080 TLC131080 TUY131080 UEU131080 UOQ131080 UYM131080 VII131080 VSE131080 WCA131080 WLW131080 WVS131080 K196616 JG196616 TC196616 ACY196616 AMU196616 AWQ196616 BGM196616 BQI196616 CAE196616 CKA196616 CTW196616 DDS196616 DNO196616 DXK196616 EHG196616 ERC196616 FAY196616 FKU196616 FUQ196616 GEM196616 GOI196616 GYE196616 HIA196616 HRW196616 IBS196616 ILO196616 IVK196616 JFG196616 JPC196616 JYY196616 KIU196616 KSQ196616 LCM196616 LMI196616 LWE196616 MGA196616 MPW196616 MZS196616 NJO196616 NTK196616 ODG196616 ONC196616 OWY196616 PGU196616 PQQ196616 QAM196616 QKI196616 QUE196616 REA196616 RNW196616 RXS196616 SHO196616 SRK196616 TBG196616 TLC196616 TUY196616 UEU196616 UOQ196616 UYM196616 VII196616 VSE196616 WCA196616 WLW196616 WVS196616 K262152 JG262152 TC262152 ACY262152 AMU262152 AWQ262152 BGM262152 BQI262152 CAE262152 CKA262152 CTW262152 DDS262152 DNO262152 DXK262152 EHG262152 ERC262152 FAY262152 FKU262152 FUQ262152 GEM262152 GOI262152 GYE262152 HIA262152 HRW262152 IBS262152 ILO262152 IVK262152 JFG262152 JPC262152 JYY262152 KIU262152 KSQ262152 LCM262152 LMI262152 LWE262152 MGA262152 MPW262152 MZS262152 NJO262152 NTK262152 ODG262152 ONC262152 OWY262152 PGU262152 PQQ262152 QAM262152 QKI262152 QUE262152 REA262152 RNW262152 RXS262152 SHO262152 SRK262152 TBG262152 TLC262152 TUY262152 UEU262152 UOQ262152 UYM262152 VII262152 VSE262152 WCA262152 WLW262152 WVS262152 K327688 JG327688 TC327688 ACY327688 AMU327688 AWQ327688 BGM327688 BQI327688 CAE327688 CKA327688 CTW327688 DDS327688 DNO327688 DXK327688 EHG327688 ERC327688 FAY327688 FKU327688 FUQ327688 GEM327688 GOI327688 GYE327688 HIA327688 HRW327688 IBS327688 ILO327688 IVK327688 JFG327688 JPC327688 JYY327688 KIU327688 KSQ327688 LCM327688 LMI327688 LWE327688 MGA327688 MPW327688 MZS327688 NJO327688 NTK327688 ODG327688 ONC327688 OWY327688 PGU327688 PQQ327688 QAM327688 QKI327688 QUE327688 REA327688 RNW327688 RXS327688 SHO327688 SRK327688 TBG327688 TLC327688 TUY327688 UEU327688 UOQ327688 UYM327688 VII327688 VSE327688 WCA327688 WLW327688 WVS327688 K393224 JG393224 TC393224 ACY393224 AMU393224 AWQ393224 BGM393224 BQI393224 CAE393224 CKA393224 CTW393224 DDS393224 DNO393224 DXK393224 EHG393224 ERC393224 FAY393224 FKU393224 FUQ393224 GEM393224 GOI393224 GYE393224 HIA393224 HRW393224 IBS393224 ILO393224 IVK393224 JFG393224 JPC393224 JYY393224 KIU393224 KSQ393224 LCM393224 LMI393224 LWE393224 MGA393224 MPW393224 MZS393224 NJO393224 NTK393224 ODG393224 ONC393224 OWY393224 PGU393224 PQQ393224 QAM393224 QKI393224 QUE393224 REA393224 RNW393224 RXS393224 SHO393224 SRK393224 TBG393224 TLC393224 TUY393224 UEU393224 UOQ393224 UYM393224 VII393224 VSE393224 WCA393224 WLW393224 WVS393224 K458760 JG458760 TC458760 ACY458760 AMU458760 AWQ458760 BGM458760 BQI458760 CAE458760 CKA458760 CTW458760 DDS458760 DNO458760 DXK458760 EHG458760 ERC458760 FAY458760 FKU458760 FUQ458760 GEM458760 GOI458760 GYE458760 HIA458760 HRW458760 IBS458760 ILO458760 IVK458760 JFG458760 JPC458760 JYY458760 KIU458760 KSQ458760 LCM458760 LMI458760 LWE458760 MGA458760 MPW458760 MZS458760 NJO458760 NTK458760 ODG458760 ONC458760 OWY458760 PGU458760 PQQ458760 QAM458760 QKI458760 QUE458760 REA458760 RNW458760 RXS458760 SHO458760 SRK458760 TBG458760 TLC458760 TUY458760 UEU458760 UOQ458760 UYM458760 VII458760 VSE458760 WCA458760 WLW458760 WVS458760 K524296 JG524296 TC524296 ACY524296 AMU524296 AWQ524296 BGM524296 BQI524296 CAE524296 CKA524296 CTW524296 DDS524296 DNO524296 DXK524296 EHG524296 ERC524296 FAY524296 FKU524296 FUQ524296 GEM524296 GOI524296 GYE524296 HIA524296 HRW524296 IBS524296 ILO524296 IVK524296 JFG524296 JPC524296 JYY524296 KIU524296 KSQ524296 LCM524296 LMI524296 LWE524296 MGA524296 MPW524296 MZS524296 NJO524296 NTK524296 ODG524296 ONC524296 OWY524296 PGU524296 PQQ524296 QAM524296 QKI524296 QUE524296 REA524296 RNW524296 RXS524296 SHO524296 SRK524296 TBG524296 TLC524296 TUY524296 UEU524296 UOQ524296 UYM524296 VII524296 VSE524296 WCA524296 WLW524296 WVS524296 K589832 JG589832 TC589832 ACY589832 AMU589832 AWQ589832 BGM589832 BQI589832 CAE589832 CKA589832 CTW589832 DDS589832 DNO589832 DXK589832 EHG589832 ERC589832 FAY589832 FKU589832 FUQ589832 GEM589832 GOI589832 GYE589832 HIA589832 HRW589832 IBS589832 ILO589832 IVK589832 JFG589832 JPC589832 JYY589832 KIU589832 KSQ589832 LCM589832 LMI589832 LWE589832 MGA589832 MPW589832 MZS589832 NJO589832 NTK589832 ODG589832 ONC589832 OWY589832 PGU589832 PQQ589832 QAM589832 QKI589832 QUE589832 REA589832 RNW589832 RXS589832 SHO589832 SRK589832 TBG589832 TLC589832 TUY589832 UEU589832 UOQ589832 UYM589832 VII589832 VSE589832 WCA589832 WLW589832 WVS589832 K655368 JG655368 TC655368 ACY655368 AMU655368 AWQ655368 BGM655368 BQI655368 CAE655368 CKA655368 CTW655368 DDS655368 DNO655368 DXK655368 EHG655368 ERC655368 FAY655368 FKU655368 FUQ655368 GEM655368 GOI655368 GYE655368 HIA655368 HRW655368 IBS655368 ILO655368 IVK655368 JFG655368 JPC655368 JYY655368 KIU655368 KSQ655368 LCM655368 LMI655368 LWE655368 MGA655368 MPW655368 MZS655368 NJO655368 NTK655368 ODG655368 ONC655368 OWY655368 PGU655368 PQQ655368 QAM655368 QKI655368 QUE655368 REA655368 RNW655368 RXS655368 SHO655368 SRK655368 TBG655368 TLC655368 TUY655368 UEU655368 UOQ655368 UYM655368 VII655368 VSE655368 WCA655368 WLW655368 WVS655368 K720904 JG720904 TC720904 ACY720904 AMU720904 AWQ720904 BGM720904 BQI720904 CAE720904 CKA720904 CTW720904 DDS720904 DNO720904 DXK720904 EHG720904 ERC720904 FAY720904 FKU720904 FUQ720904 GEM720904 GOI720904 GYE720904 HIA720904 HRW720904 IBS720904 ILO720904 IVK720904 JFG720904 JPC720904 JYY720904 KIU720904 KSQ720904 LCM720904 LMI720904 LWE720904 MGA720904 MPW720904 MZS720904 NJO720904 NTK720904 ODG720904 ONC720904 OWY720904 PGU720904 PQQ720904 QAM720904 QKI720904 QUE720904 REA720904 RNW720904 RXS720904 SHO720904 SRK720904 TBG720904 TLC720904 TUY720904 UEU720904 UOQ720904 UYM720904 VII720904 VSE720904 WCA720904 WLW720904 WVS720904 K786440 JG786440 TC786440 ACY786440 AMU786440 AWQ786440 BGM786440 BQI786440 CAE786440 CKA786440 CTW786440 DDS786440 DNO786440 DXK786440 EHG786440 ERC786440 FAY786440 FKU786440 FUQ786440 GEM786440 GOI786440 GYE786440 HIA786440 HRW786440 IBS786440 ILO786440 IVK786440 JFG786440 JPC786440 JYY786440 KIU786440 KSQ786440 LCM786440 LMI786440 LWE786440 MGA786440 MPW786440 MZS786440 NJO786440 NTK786440 ODG786440 ONC786440 OWY786440 PGU786440 PQQ786440 QAM786440 QKI786440 QUE786440 REA786440 RNW786440 RXS786440 SHO786440 SRK786440 TBG786440 TLC786440 TUY786440 UEU786440 UOQ786440 UYM786440 VII786440 VSE786440 WCA786440 WLW786440 WVS786440 K851976 JG851976 TC851976 ACY851976 AMU851976 AWQ851976 BGM851976 BQI851976 CAE851976 CKA851976 CTW851976 DDS851976 DNO851976 DXK851976 EHG851976 ERC851976 FAY851976 FKU851976 FUQ851976 GEM851976 GOI851976 GYE851976 HIA851976 HRW851976 IBS851976 ILO851976 IVK851976 JFG851976 JPC851976 JYY851976 KIU851976 KSQ851976 LCM851976 LMI851976 LWE851976 MGA851976 MPW851976 MZS851976 NJO851976 NTK851976 ODG851976 ONC851976 OWY851976 PGU851976 PQQ851976 QAM851976 QKI851976 QUE851976 REA851976 RNW851976 RXS851976 SHO851976 SRK851976 TBG851976 TLC851976 TUY851976 UEU851976 UOQ851976 UYM851976 VII851976 VSE851976 WCA851976 WLW851976 WVS851976 K917512 JG917512 TC917512 ACY917512 AMU917512 AWQ917512 BGM917512 BQI917512 CAE917512 CKA917512 CTW917512 DDS917512 DNO917512 DXK917512 EHG917512 ERC917512 FAY917512 FKU917512 FUQ917512 GEM917512 GOI917512 GYE917512 HIA917512 HRW917512 IBS917512 ILO917512 IVK917512 JFG917512 JPC917512 JYY917512 KIU917512 KSQ917512 LCM917512 LMI917512 LWE917512 MGA917512 MPW917512 MZS917512 NJO917512 NTK917512 ODG917512 ONC917512 OWY917512 PGU917512 PQQ917512 QAM917512 QKI917512 QUE917512 REA917512 RNW917512 RXS917512 SHO917512 SRK917512 TBG917512 TLC917512 TUY917512 UEU917512 UOQ917512 UYM917512 VII917512 VSE917512 WCA917512 WLW917512 WVS917512 K983048 JG983048 TC983048 ACY983048 AMU983048 AWQ983048 BGM983048 BQI983048 CAE983048 CKA983048 CTW983048 DDS983048 DNO983048 DXK983048 EHG983048 ERC983048 FAY983048 FKU983048 FUQ983048 GEM983048 GOI983048 GYE983048 HIA983048 HRW983048 IBS983048 ILO983048 IVK983048 JFG983048 JPC983048 JYY983048 KIU983048 KSQ983048 LCM983048 LMI983048 LWE983048 MGA983048 MPW983048 MZS983048 NJO983048 NTK983048 ODG983048 ONC983048 OWY983048 PGU983048 PQQ983048 QAM983048 QKI983048 QUE983048 REA983048 RNW983048 RXS983048 SHO983048 SRK983048 TBG983048 TLC983048 TUY983048 UEU983048 UOQ983048 UYM983048 VII983048 VSE983048 WCA983048 WLW983048 WVS983048">
      <formula1>0</formula1>
    </dataValidation>
    <dataValidation type="whole" operator="greaterThan" allowBlank="1" showInputMessage="1" showErrorMessage="1" errorTitle="Invalid Number!" error="Vertical Pixel value should be a whole number." promptTitle="Note:" prompt="Vertical Pixel value will be rounded to nearest integer." sqref="K9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WVS9 K65545 JG65545 TC65545 ACY65545 AMU65545 AWQ65545 BGM65545 BQI65545 CAE65545 CKA65545 CTW65545 DDS65545 DNO65545 DXK65545 EHG65545 ERC65545 FAY65545 FKU65545 FUQ65545 GEM65545 GOI65545 GYE65545 HIA65545 HRW65545 IBS65545 ILO65545 IVK65545 JFG65545 JPC65545 JYY65545 KIU65545 KSQ65545 LCM65545 LMI65545 LWE65545 MGA65545 MPW65545 MZS65545 NJO65545 NTK65545 ODG65545 ONC65545 OWY65545 PGU65545 PQQ65545 QAM65545 QKI65545 QUE65545 REA65545 RNW65545 RXS65545 SHO65545 SRK65545 TBG65545 TLC65545 TUY65545 UEU65545 UOQ65545 UYM65545 VII65545 VSE65545 WCA65545 WLW65545 WVS65545 K131081 JG131081 TC131081 ACY131081 AMU131081 AWQ131081 BGM131081 BQI131081 CAE131081 CKA131081 CTW131081 DDS131081 DNO131081 DXK131081 EHG131081 ERC131081 FAY131081 FKU131081 FUQ131081 GEM131081 GOI131081 GYE131081 HIA131081 HRW131081 IBS131081 ILO131081 IVK131081 JFG131081 JPC131081 JYY131081 KIU131081 KSQ131081 LCM131081 LMI131081 LWE131081 MGA131081 MPW131081 MZS131081 NJO131081 NTK131081 ODG131081 ONC131081 OWY131081 PGU131081 PQQ131081 QAM131081 QKI131081 QUE131081 REA131081 RNW131081 RXS131081 SHO131081 SRK131081 TBG131081 TLC131081 TUY131081 UEU131081 UOQ131081 UYM131081 VII131081 VSE131081 WCA131081 WLW131081 WVS131081 K196617 JG196617 TC196617 ACY196617 AMU196617 AWQ196617 BGM196617 BQI196617 CAE196617 CKA196617 CTW196617 DDS196617 DNO196617 DXK196617 EHG196617 ERC196617 FAY196617 FKU196617 FUQ196617 GEM196617 GOI196617 GYE196617 HIA196617 HRW196617 IBS196617 ILO196617 IVK196617 JFG196617 JPC196617 JYY196617 KIU196617 KSQ196617 LCM196617 LMI196617 LWE196617 MGA196617 MPW196617 MZS196617 NJO196617 NTK196617 ODG196617 ONC196617 OWY196617 PGU196617 PQQ196617 QAM196617 QKI196617 QUE196617 REA196617 RNW196617 RXS196617 SHO196617 SRK196617 TBG196617 TLC196617 TUY196617 UEU196617 UOQ196617 UYM196617 VII196617 VSE196617 WCA196617 WLW196617 WVS196617 K262153 JG262153 TC262153 ACY262153 AMU262153 AWQ262153 BGM262153 BQI262153 CAE262153 CKA262153 CTW262153 DDS262153 DNO262153 DXK262153 EHG262153 ERC262153 FAY262153 FKU262153 FUQ262153 GEM262153 GOI262153 GYE262153 HIA262153 HRW262153 IBS262153 ILO262153 IVK262153 JFG262153 JPC262153 JYY262153 KIU262153 KSQ262153 LCM262153 LMI262153 LWE262153 MGA262153 MPW262153 MZS262153 NJO262153 NTK262153 ODG262153 ONC262153 OWY262153 PGU262153 PQQ262153 QAM262153 QKI262153 QUE262153 REA262153 RNW262153 RXS262153 SHO262153 SRK262153 TBG262153 TLC262153 TUY262153 UEU262153 UOQ262153 UYM262153 VII262153 VSE262153 WCA262153 WLW262153 WVS262153 K327689 JG327689 TC327689 ACY327689 AMU327689 AWQ327689 BGM327689 BQI327689 CAE327689 CKA327689 CTW327689 DDS327689 DNO327689 DXK327689 EHG327689 ERC327689 FAY327689 FKU327689 FUQ327689 GEM327689 GOI327689 GYE327689 HIA327689 HRW327689 IBS327689 ILO327689 IVK327689 JFG327689 JPC327689 JYY327689 KIU327689 KSQ327689 LCM327689 LMI327689 LWE327689 MGA327689 MPW327689 MZS327689 NJO327689 NTK327689 ODG327689 ONC327689 OWY327689 PGU327689 PQQ327689 QAM327689 QKI327689 QUE327689 REA327689 RNW327689 RXS327689 SHO327689 SRK327689 TBG327689 TLC327689 TUY327689 UEU327689 UOQ327689 UYM327689 VII327689 VSE327689 WCA327689 WLW327689 WVS327689 K393225 JG393225 TC393225 ACY393225 AMU393225 AWQ393225 BGM393225 BQI393225 CAE393225 CKA393225 CTW393225 DDS393225 DNO393225 DXK393225 EHG393225 ERC393225 FAY393225 FKU393225 FUQ393225 GEM393225 GOI393225 GYE393225 HIA393225 HRW393225 IBS393225 ILO393225 IVK393225 JFG393225 JPC393225 JYY393225 KIU393225 KSQ393225 LCM393225 LMI393225 LWE393225 MGA393225 MPW393225 MZS393225 NJO393225 NTK393225 ODG393225 ONC393225 OWY393225 PGU393225 PQQ393225 QAM393225 QKI393225 QUE393225 REA393225 RNW393225 RXS393225 SHO393225 SRK393225 TBG393225 TLC393225 TUY393225 UEU393225 UOQ393225 UYM393225 VII393225 VSE393225 WCA393225 WLW393225 WVS393225 K458761 JG458761 TC458761 ACY458761 AMU458761 AWQ458761 BGM458761 BQI458761 CAE458761 CKA458761 CTW458761 DDS458761 DNO458761 DXK458761 EHG458761 ERC458761 FAY458761 FKU458761 FUQ458761 GEM458761 GOI458761 GYE458761 HIA458761 HRW458761 IBS458761 ILO458761 IVK458761 JFG458761 JPC458761 JYY458761 KIU458761 KSQ458761 LCM458761 LMI458761 LWE458761 MGA458761 MPW458761 MZS458761 NJO458761 NTK458761 ODG458761 ONC458761 OWY458761 PGU458761 PQQ458761 QAM458761 QKI458761 QUE458761 REA458761 RNW458761 RXS458761 SHO458761 SRK458761 TBG458761 TLC458761 TUY458761 UEU458761 UOQ458761 UYM458761 VII458761 VSE458761 WCA458761 WLW458761 WVS458761 K524297 JG524297 TC524297 ACY524297 AMU524297 AWQ524297 BGM524297 BQI524297 CAE524297 CKA524297 CTW524297 DDS524297 DNO524297 DXK524297 EHG524297 ERC524297 FAY524297 FKU524297 FUQ524297 GEM524297 GOI524297 GYE524297 HIA524297 HRW524297 IBS524297 ILO524297 IVK524297 JFG524297 JPC524297 JYY524297 KIU524297 KSQ524297 LCM524297 LMI524297 LWE524297 MGA524297 MPW524297 MZS524297 NJO524297 NTK524297 ODG524297 ONC524297 OWY524297 PGU524297 PQQ524297 QAM524297 QKI524297 QUE524297 REA524297 RNW524297 RXS524297 SHO524297 SRK524297 TBG524297 TLC524297 TUY524297 UEU524297 UOQ524297 UYM524297 VII524297 VSE524297 WCA524297 WLW524297 WVS524297 K589833 JG589833 TC589833 ACY589833 AMU589833 AWQ589833 BGM589833 BQI589833 CAE589833 CKA589833 CTW589833 DDS589833 DNO589833 DXK589833 EHG589833 ERC589833 FAY589833 FKU589833 FUQ589833 GEM589833 GOI589833 GYE589833 HIA589833 HRW589833 IBS589833 ILO589833 IVK589833 JFG589833 JPC589833 JYY589833 KIU589833 KSQ589833 LCM589833 LMI589833 LWE589833 MGA589833 MPW589833 MZS589833 NJO589833 NTK589833 ODG589833 ONC589833 OWY589833 PGU589833 PQQ589833 QAM589833 QKI589833 QUE589833 REA589833 RNW589833 RXS589833 SHO589833 SRK589833 TBG589833 TLC589833 TUY589833 UEU589833 UOQ589833 UYM589833 VII589833 VSE589833 WCA589833 WLW589833 WVS589833 K655369 JG655369 TC655369 ACY655369 AMU655369 AWQ655369 BGM655369 BQI655369 CAE655369 CKA655369 CTW655369 DDS655369 DNO655369 DXK655369 EHG655369 ERC655369 FAY655369 FKU655369 FUQ655369 GEM655369 GOI655369 GYE655369 HIA655369 HRW655369 IBS655369 ILO655369 IVK655369 JFG655369 JPC655369 JYY655369 KIU655369 KSQ655369 LCM655369 LMI655369 LWE655369 MGA655369 MPW655369 MZS655369 NJO655369 NTK655369 ODG655369 ONC655369 OWY655369 PGU655369 PQQ655369 QAM655369 QKI655369 QUE655369 REA655369 RNW655369 RXS655369 SHO655369 SRK655369 TBG655369 TLC655369 TUY655369 UEU655369 UOQ655369 UYM655369 VII655369 VSE655369 WCA655369 WLW655369 WVS655369 K720905 JG720905 TC720905 ACY720905 AMU720905 AWQ720905 BGM720905 BQI720905 CAE720905 CKA720905 CTW720905 DDS720905 DNO720905 DXK720905 EHG720905 ERC720905 FAY720905 FKU720905 FUQ720905 GEM720905 GOI720905 GYE720905 HIA720905 HRW720905 IBS720905 ILO720905 IVK720905 JFG720905 JPC720905 JYY720905 KIU720905 KSQ720905 LCM720905 LMI720905 LWE720905 MGA720905 MPW720905 MZS720905 NJO720905 NTK720905 ODG720905 ONC720905 OWY720905 PGU720905 PQQ720905 QAM720905 QKI720905 QUE720905 REA720905 RNW720905 RXS720905 SHO720905 SRK720905 TBG720905 TLC720905 TUY720905 UEU720905 UOQ720905 UYM720905 VII720905 VSE720905 WCA720905 WLW720905 WVS720905 K786441 JG786441 TC786441 ACY786441 AMU786441 AWQ786441 BGM786441 BQI786441 CAE786441 CKA786441 CTW786441 DDS786441 DNO786441 DXK786441 EHG786441 ERC786441 FAY786441 FKU786441 FUQ786441 GEM786441 GOI786441 GYE786441 HIA786441 HRW786441 IBS786441 ILO786441 IVK786441 JFG786441 JPC786441 JYY786441 KIU786441 KSQ786441 LCM786441 LMI786441 LWE786441 MGA786441 MPW786441 MZS786441 NJO786441 NTK786441 ODG786441 ONC786441 OWY786441 PGU786441 PQQ786441 QAM786441 QKI786441 QUE786441 REA786441 RNW786441 RXS786441 SHO786441 SRK786441 TBG786441 TLC786441 TUY786441 UEU786441 UOQ786441 UYM786441 VII786441 VSE786441 WCA786441 WLW786441 WVS786441 K851977 JG851977 TC851977 ACY851977 AMU851977 AWQ851977 BGM851977 BQI851977 CAE851977 CKA851977 CTW851977 DDS851977 DNO851977 DXK851977 EHG851977 ERC851977 FAY851977 FKU851977 FUQ851977 GEM851977 GOI851977 GYE851977 HIA851977 HRW851977 IBS851977 ILO851977 IVK851977 JFG851977 JPC851977 JYY851977 KIU851977 KSQ851977 LCM851977 LMI851977 LWE851977 MGA851977 MPW851977 MZS851977 NJO851977 NTK851977 ODG851977 ONC851977 OWY851977 PGU851977 PQQ851977 QAM851977 QKI851977 QUE851977 REA851977 RNW851977 RXS851977 SHO851977 SRK851977 TBG851977 TLC851977 TUY851977 UEU851977 UOQ851977 UYM851977 VII851977 VSE851977 WCA851977 WLW851977 WVS851977 K917513 JG917513 TC917513 ACY917513 AMU917513 AWQ917513 BGM917513 BQI917513 CAE917513 CKA917513 CTW917513 DDS917513 DNO917513 DXK917513 EHG917513 ERC917513 FAY917513 FKU917513 FUQ917513 GEM917513 GOI917513 GYE917513 HIA917513 HRW917513 IBS917513 ILO917513 IVK917513 JFG917513 JPC917513 JYY917513 KIU917513 KSQ917513 LCM917513 LMI917513 LWE917513 MGA917513 MPW917513 MZS917513 NJO917513 NTK917513 ODG917513 ONC917513 OWY917513 PGU917513 PQQ917513 QAM917513 QKI917513 QUE917513 REA917513 RNW917513 RXS917513 SHO917513 SRK917513 TBG917513 TLC917513 TUY917513 UEU917513 UOQ917513 UYM917513 VII917513 VSE917513 WCA917513 WLW917513 WVS917513 K983049 JG983049 TC983049 ACY983049 AMU983049 AWQ983049 BGM983049 BQI983049 CAE983049 CKA983049 CTW983049 DDS983049 DNO983049 DXK983049 EHG983049 ERC983049 FAY983049 FKU983049 FUQ983049 GEM983049 GOI983049 GYE983049 HIA983049 HRW983049 IBS983049 ILO983049 IVK983049 JFG983049 JPC983049 JYY983049 KIU983049 KSQ983049 LCM983049 LMI983049 LWE983049 MGA983049 MPW983049 MZS983049 NJO983049 NTK983049 ODG983049 ONC983049 OWY983049 PGU983049 PQQ983049 QAM983049 QKI983049 QUE983049 REA983049 RNW983049 RXS983049 SHO983049 SRK983049 TBG983049 TLC983049 TUY983049 UEU983049 UOQ983049 UYM983049 VII983049 VSE983049 WCA983049 WLW983049 WVS983049">
      <formula1>0</formula1>
    </dataValidation>
    <dataValidation type="decimal" operator="greaterThan" allowBlank="1" showInputMessage="1" showErrorMessage="1" errorTitle="Invalid Number!" error="Frame Rate value must be a number." promptTitle="Vertical Frame Rate:" prompt="CVT Standard Frame Rates are:&#10;    50Hz&#10;    60Hz&#10;    75Hz&#10;    85Hz" sqref="K1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WVS983052">
      <formula1>0</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Rev 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丁丁</cp:lastModifiedBy>
  <dcterms:created xsi:type="dcterms:W3CDTF">2015-06-05T18:19:00Z</dcterms:created>
  <dcterms:modified xsi:type="dcterms:W3CDTF">2019-09-25T10:39:53Z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2052-11.1.0.8976</vt:lpwstr>
  </property>
</Properties>
</file>